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6" windowHeight="11760" firstSheet="2" activeTab="9"/>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5725"/>
</workbook>
</file>

<file path=xl/calcChain.xml><?xml version="1.0" encoding="utf-8"?>
<calcChain xmlns="http://schemas.openxmlformats.org/spreadsheetml/2006/main">
  <c r="I55" i="4"/>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D22" i="5"/>
  <c r="C22"/>
  <c r="B22"/>
  <c r="D15" i="3"/>
  <c r="C15"/>
  <c r="B15"/>
  <c r="D14"/>
  <c r="C14"/>
  <c r="B14"/>
  <c r="G27" i="4"/>
  <c r="D12" i="3"/>
  <c r="C12"/>
  <c r="B12"/>
  <c r="G44" i="4"/>
  <c r="D44"/>
  <c r="J44"/>
  <c r="D18" i="5" s="1"/>
  <c r="D49" i="4"/>
  <c r="D48"/>
  <c r="D47"/>
  <c r="D46"/>
  <c r="D45"/>
  <c r="C18" i="5"/>
  <c r="G5" i="4"/>
  <c r="J5"/>
  <c r="D15" i="5" s="1"/>
  <c r="D5" i="4"/>
  <c r="B15" i="5" s="1"/>
  <c r="B18"/>
  <c r="J51" i="4"/>
  <c r="D20" i="5"/>
  <c r="G51" i="4"/>
  <c r="C20" i="5" s="1"/>
  <c r="C15"/>
  <c r="D21"/>
  <c r="C21"/>
  <c r="D11"/>
  <c r="C11"/>
  <c r="B11"/>
  <c r="D8"/>
  <c r="B8"/>
  <c r="C8"/>
  <c r="D27" i="4"/>
  <c r="D12" s="1"/>
  <c r="G36"/>
  <c r="D36"/>
  <c r="B9" i="9"/>
  <c r="B21"/>
  <c r="B4"/>
  <c r="E7"/>
  <c r="E4" s="1"/>
  <c r="E8"/>
  <c r="E6"/>
  <c r="E5"/>
  <c r="E18"/>
  <c r="E17"/>
  <c r="E16"/>
  <c r="E15"/>
  <c r="E9" s="1"/>
  <c r="E13"/>
  <c r="E11"/>
  <c r="E10"/>
  <c r="E32"/>
  <c r="E33" i="8"/>
  <c r="E32"/>
  <c r="E31"/>
  <c r="C26"/>
  <c r="E22"/>
  <c r="E21"/>
  <c r="E20"/>
  <c r="C15"/>
  <c r="E11"/>
  <c r="E10"/>
  <c r="E9"/>
  <c r="C4"/>
  <c r="E40" i="7"/>
  <c r="E42"/>
  <c r="E22"/>
  <c r="E24"/>
  <c r="E4"/>
  <c r="E6"/>
  <c r="D48"/>
  <c r="D47"/>
  <c r="D46"/>
  <c r="D45"/>
  <c r="D44"/>
  <c r="D43"/>
  <c r="D42"/>
  <c r="D41"/>
  <c r="D40"/>
  <c r="D30"/>
  <c r="D29"/>
  <c r="D28"/>
  <c r="D27"/>
  <c r="D26"/>
  <c r="D25"/>
  <c r="D24"/>
  <c r="D23"/>
  <c r="D22"/>
  <c r="D12"/>
  <c r="D11"/>
  <c r="D10"/>
  <c r="D6"/>
  <c r="E6" i="6"/>
  <c r="E5"/>
  <c r="E4"/>
  <c r="G13" i="4"/>
  <c r="G12" s="1"/>
  <c r="J36"/>
  <c r="J32"/>
  <c r="J12"/>
  <c r="E31" i="9"/>
  <c r="E30"/>
  <c r="E29"/>
  <c r="E28" s="1"/>
  <c r="E27"/>
  <c r="E26"/>
  <c r="E24"/>
  <c r="E23"/>
  <c r="E21" s="1"/>
  <c r="J55" i="4" l="1"/>
  <c r="D16" i="5"/>
  <c r="D14" s="1"/>
  <c r="D23" s="1"/>
  <c r="B16"/>
  <c r="B14" s="1"/>
  <c r="B23" s="1"/>
  <c r="D55" i="4"/>
  <c r="G55"/>
  <c r="C16" i="5"/>
  <c r="E3" i="9"/>
  <c r="C14" i="5"/>
  <c r="C23" s="1"/>
  <c r="B24" l="1"/>
</calcChain>
</file>

<file path=xl/sharedStrings.xml><?xml version="1.0" encoding="utf-8"?>
<sst xmlns="http://schemas.openxmlformats.org/spreadsheetml/2006/main" count="354" uniqueCount="271">
  <si>
    <t>民办中小学教育定价成本监审表</t>
  </si>
  <si>
    <t>（2021年度）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</si>
  <si>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</si>
  <si>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</si>
  <si>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</si>
  <si>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</si>
  <si>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</si>
  <si>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</si>
  <si>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</si>
  <si>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</si>
  <si>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</si>
  <si>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</si>
  <si>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</si>
  <si>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</si>
  <si>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</si>
  <si>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</si>
  <si>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</si>
  <si>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</si>
  <si>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</si>
  <si>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</si>
  <si>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indexed="8"/>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</si>
  <si>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</si>
  <si>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</si>
  <si>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</si>
  <si>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</si>
  <si>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</si>
  <si>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</si>
  <si>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</si>
  <si>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</si>
  <si>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</si>
  <si>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</si>
  <si>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</si>
  <si>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</si>
  <si>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</si>
  <si>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</si>
  <si>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</si>
  <si>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</si>
  <si>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</si>
  <si>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</si>
  <si>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</si>
  <si>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</si>
  <si>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</si>
  <si>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</si>
  <si>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indexed="8"/>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</si>
  <si>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</si>
  <si>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</si>
  <si>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</si>
  <si>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</si>
  <si>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</si>
  <si>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</si>
  <si>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</si>
  <si>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</si>
  <si>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</si>
  <si>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</si>
  <si>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</si>
  <si>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</si>
  <si>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</si>
  <si>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</si>
  <si>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</si>
  <si>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</si>
  <si>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</si>
  <si>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</si>
  <si>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</si>
  <si>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</si>
  <si>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</si>
  <si>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</si>
  <si>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</si>
  <si>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</si>
  <si>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</si>
  <si>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</si>
  <si>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</si>
  <si>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sz val="16"/>
        <rFont val="黑体"/>
        <family val="3"/>
        <charset val="134"/>
      </rPr>
      <t>表</t>
    </r>
    <r>
      <rPr>
        <sz val="16"/>
        <rFont val="Times New Roman"/>
        <family val="1"/>
      </rPr>
      <t>4</t>
    </r>
  </si>
  <si>
    <t>项目　</t>
  </si>
  <si>
    <r>
      <rPr>
        <b/>
        <sz val="12"/>
        <rFont val="Times New Roman"/>
        <family val="1"/>
      </rPr>
      <t>2021</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</si>
  <si>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</si>
  <si>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</si>
  <si>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</si>
  <si>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</si>
  <si>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</si>
  <si>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</si>
  <si>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</si>
  <si>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</si>
  <si>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</si>
  <si>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</si>
  <si>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</si>
  <si>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</si>
  <si>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</si>
  <si>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</si>
  <si>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</si>
  <si>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</si>
  <si>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</si>
  <si>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</si>
  <si>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</si>
  <si>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</si>
  <si>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</si>
  <si>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高中生均教育培养成本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</si>
  <si>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</si>
  <si>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</si>
  <si>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</si>
  <si>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</si>
  <si>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</si>
  <si>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</si>
  <si>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</si>
  <si>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</si>
  <si>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</si>
  <si>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</si>
  <si>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</si>
  <si>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</si>
  <si>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</si>
  <si>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t>（一）在职教职工人数</t>
  </si>
  <si>
    <t>2019年核增数</t>
  </si>
  <si>
    <t>比列</t>
  </si>
  <si>
    <t>补充医疗保险</t>
  </si>
  <si>
    <t>其他</t>
  </si>
  <si>
    <t>2020年核增数</t>
  </si>
  <si>
    <t>2021年核增数</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</si>
  <si>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</si>
  <si>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</si>
  <si>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</si>
  <si>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</si>
  <si>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</si>
  <si>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</si>
  <si>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</si>
  <si>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indexed="8"/>
        <rFont val="Times New Roman"/>
        <family val="1"/>
      </rPr>
      <t>1.</t>
    </r>
    <r>
      <rPr>
        <sz val="12"/>
        <color indexed="8"/>
        <rFont val="宋体"/>
        <family val="3"/>
        <charset val="134"/>
      </rPr>
      <t>房屋</t>
    </r>
  </si>
  <si>
    <r>
      <rPr>
        <sz val="12"/>
        <color indexed="8"/>
        <rFont val="Times New Roman"/>
        <family val="1"/>
      </rPr>
      <t>2.</t>
    </r>
    <r>
      <rPr>
        <sz val="12"/>
        <color indexed="8"/>
        <rFont val="宋体"/>
        <family val="3"/>
        <charset val="134"/>
      </rPr>
      <t>简易房</t>
    </r>
  </si>
  <si>
    <r>
      <rPr>
        <sz val="12"/>
        <color indexed="8"/>
        <rFont val="Times New Roman"/>
        <family val="1"/>
      </rPr>
      <t>3.</t>
    </r>
    <r>
      <rPr>
        <sz val="12"/>
        <color indexed="8"/>
        <rFont val="宋体"/>
        <family val="3"/>
        <charset val="134"/>
      </rPr>
      <t>房屋附属设施</t>
    </r>
  </si>
  <si>
    <r>
      <rPr>
        <sz val="12"/>
        <color indexed="8"/>
        <rFont val="Times New Roman"/>
        <family val="1"/>
      </rPr>
      <t>4.</t>
    </r>
    <r>
      <rPr>
        <sz val="12"/>
        <color indexed="8"/>
        <rFont val="宋体"/>
        <family val="3"/>
        <charset val="134"/>
      </rPr>
      <t>构筑物</t>
    </r>
  </si>
  <si>
    <r>
      <rPr>
        <b/>
        <sz val="12"/>
        <color indexed="8"/>
        <rFont val="宋体"/>
        <family val="3"/>
        <charset val="134"/>
      </rPr>
      <t>二、通用设备</t>
    </r>
  </si>
  <si>
    <r>
      <rPr>
        <sz val="12"/>
        <color indexed="8"/>
        <rFont val="Times New Roman"/>
        <family val="1"/>
      </rPr>
      <t>1.</t>
    </r>
    <r>
      <rPr>
        <sz val="12"/>
        <color indexed="8"/>
        <rFont val="宋体"/>
        <family val="3"/>
        <charset val="134"/>
      </rPr>
      <t>计算机设备</t>
    </r>
  </si>
  <si>
    <r>
      <rPr>
        <sz val="12"/>
        <color indexed="8"/>
        <rFont val="Times New Roman"/>
        <family val="1"/>
      </rPr>
      <t>2.</t>
    </r>
    <r>
      <rPr>
        <sz val="12"/>
        <color indexed="8"/>
        <rFont val="宋体"/>
        <family val="3"/>
        <charset val="134"/>
      </rPr>
      <t>办公设备</t>
    </r>
  </si>
  <si>
    <r>
      <rPr>
        <sz val="12"/>
        <color indexed="8"/>
        <rFont val="Times New Roman"/>
        <family val="1"/>
      </rPr>
      <t>3.</t>
    </r>
    <r>
      <rPr>
        <sz val="12"/>
        <color indexed="8"/>
        <rFont val="宋体"/>
        <family val="3"/>
        <charset val="134"/>
      </rPr>
      <t>车辆</t>
    </r>
  </si>
  <si>
    <r>
      <rPr>
        <sz val="12"/>
        <color indexed="8"/>
        <rFont val="Times New Roman"/>
        <family val="1"/>
      </rPr>
      <t>4.</t>
    </r>
    <r>
      <rPr>
        <sz val="12"/>
        <color indexed="8"/>
        <rFont val="宋体"/>
        <family val="3"/>
        <charset val="134"/>
      </rPr>
      <t>图书档案设备</t>
    </r>
  </si>
  <si>
    <r>
      <rPr>
        <sz val="12"/>
        <color indexed="8"/>
        <rFont val="Times New Roman"/>
        <family val="1"/>
      </rPr>
      <t>5.</t>
    </r>
    <r>
      <rPr>
        <sz val="12"/>
        <color indexed="8"/>
        <rFont val="宋体"/>
        <family val="3"/>
        <charset val="134"/>
      </rPr>
      <t>机械设备</t>
    </r>
  </si>
  <si>
    <r>
      <rPr>
        <sz val="12"/>
        <color indexed="8"/>
        <rFont val="Times New Roman"/>
        <family val="1"/>
      </rPr>
      <t>6.</t>
    </r>
    <r>
      <rPr>
        <sz val="12"/>
        <color indexed="8"/>
        <rFont val="宋体"/>
        <family val="3"/>
        <charset val="134"/>
      </rPr>
      <t>电气设备</t>
    </r>
  </si>
  <si>
    <r>
      <rPr>
        <sz val="12"/>
        <color indexed="8"/>
        <rFont val="Times New Roman"/>
        <family val="1"/>
      </rPr>
      <t>7.</t>
    </r>
    <r>
      <rPr>
        <sz val="12"/>
        <color indexed="8"/>
        <rFont val="宋体"/>
        <family val="3"/>
        <charset val="134"/>
      </rPr>
      <t>通信设备</t>
    </r>
  </si>
  <si>
    <r>
      <rPr>
        <sz val="12"/>
        <color indexed="8"/>
        <rFont val="Times New Roman"/>
        <family val="1"/>
      </rPr>
      <t>8.</t>
    </r>
    <r>
      <rPr>
        <sz val="12"/>
        <color indexed="8"/>
        <rFont val="宋体"/>
        <family val="3"/>
        <charset val="134"/>
      </rPr>
      <t>广播、电视、电影设备</t>
    </r>
  </si>
  <si>
    <r>
      <rPr>
        <sz val="12"/>
        <color indexed="8"/>
        <rFont val="Times New Roman"/>
        <family val="1"/>
      </rPr>
      <t>9.</t>
    </r>
    <r>
      <rPr>
        <sz val="12"/>
        <color indexed="8"/>
        <rFont val="宋体"/>
        <family val="3"/>
        <charset val="134"/>
      </rPr>
      <t>仪器仪表</t>
    </r>
  </si>
  <si>
    <r>
      <rPr>
        <sz val="12"/>
        <color indexed="8"/>
        <rFont val="Times New Roman"/>
        <family val="1"/>
      </rPr>
      <t>10.</t>
    </r>
    <r>
      <rPr>
        <sz val="12"/>
        <color indexed="8"/>
        <rFont val="宋体"/>
        <family val="3"/>
        <charset val="134"/>
      </rPr>
      <t>电子和通信测量设备、</t>
    </r>
  </si>
  <si>
    <r>
      <rPr>
        <sz val="12"/>
        <color indexed="8"/>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</si>
  <si>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</si>
  <si>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indexed="8"/>
        <rFont val="Times New Roman"/>
        <family val="1"/>
      </rPr>
      <t>1.</t>
    </r>
    <r>
      <rPr>
        <sz val="12"/>
        <color indexed="8"/>
        <rFont val="宋体"/>
        <family val="3"/>
        <charset val="134"/>
      </rPr>
      <t>专用仪器仪表</t>
    </r>
  </si>
  <si>
    <r>
      <rPr>
        <sz val="12"/>
        <color indexed="8"/>
        <rFont val="Times New Roman"/>
        <family val="1"/>
      </rPr>
      <t>2.</t>
    </r>
    <r>
      <rPr>
        <sz val="12"/>
        <color indexed="8"/>
        <rFont val="宋体"/>
        <family val="3"/>
        <charset val="134"/>
      </rPr>
      <t>文艺设备</t>
    </r>
  </si>
  <si>
    <r>
      <rPr>
        <sz val="12"/>
        <color indexed="8"/>
        <rFont val="Times New Roman"/>
        <family val="1"/>
      </rPr>
      <t>3.</t>
    </r>
    <r>
      <rPr>
        <sz val="12"/>
        <color indexed="8"/>
        <rFont val="宋体"/>
        <family val="3"/>
        <charset val="134"/>
      </rPr>
      <t>体育设备</t>
    </r>
  </si>
  <si>
    <r>
      <rPr>
        <sz val="12"/>
        <color indexed="8"/>
        <rFont val="Times New Roman"/>
        <family val="1"/>
      </rPr>
      <t>4.</t>
    </r>
    <r>
      <rPr>
        <sz val="12"/>
        <color indexed="8"/>
        <rFont val="宋体"/>
        <family val="3"/>
        <charset val="134"/>
      </rPr>
      <t>娱乐设备</t>
    </r>
  </si>
  <si>
    <r>
      <rPr>
        <sz val="12"/>
        <color indexed="8"/>
        <rFont val="Times New Roman"/>
        <family val="1"/>
      </rPr>
      <t>5.</t>
    </r>
    <r>
      <rPr>
        <sz val="12"/>
        <color indexed="8"/>
        <rFont val="宋体"/>
        <family val="3"/>
        <charset val="134"/>
      </rPr>
      <t>公安专用设备</t>
    </r>
  </si>
  <si>
    <r>
      <rPr>
        <sz val="12"/>
        <color indexed="8"/>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</si>
  <si>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</si>
  <si>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indexed="8"/>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</si>
  <si>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</si>
  <si>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indexed="8"/>
        <rFont val="Times New Roman"/>
        <family val="1"/>
      </rPr>
      <t>2.</t>
    </r>
    <r>
      <rPr>
        <sz val="12"/>
        <color indexed="8"/>
        <rFont val="宋体"/>
        <family val="3"/>
        <charset val="134"/>
      </rPr>
      <t>用具和装具</t>
    </r>
  </si>
  <si>
    <t>承 诺 书</t>
  </si>
  <si>
    <r>
      <rPr>
        <sz val="15"/>
        <color indexed="8"/>
        <rFont val="Times New Roman"/>
        <family val="1"/>
      </rPr>
      <t xml:space="preserve">        </t>
    </r>
    <r>
      <rPr>
        <sz val="15"/>
        <color indexed="8"/>
        <rFont val="宋体"/>
        <family val="3"/>
        <charset val="134"/>
      </rPr>
      <t>根据《政府制定价格成本监审办法》（国家发展和改革委员会第</t>
    </r>
    <r>
      <rPr>
        <sz val="15"/>
        <color indexed="8"/>
        <rFont val="Times New Roman"/>
        <family val="1"/>
      </rPr>
      <t>8</t>
    </r>
    <r>
      <rPr>
        <sz val="15"/>
        <color indexed="8"/>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</si>
  <si>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</si>
  <si>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</si>
  <si>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indexed="8"/>
        <rFont val="Times New Roman"/>
        <family val="1"/>
      </rPr>
      <t xml:space="preserve">                                                    </t>
    </r>
    <r>
      <rPr>
        <sz val="15"/>
        <color indexed="8"/>
        <rFont val="宋体"/>
        <family val="3"/>
        <charset val="134"/>
      </rPr>
      <t>财务负责人员（签字）：</t>
    </r>
  </si>
  <si>
    <t xml:space="preserve">                              法人代表（签字）：</t>
  </si>
  <si>
    <r>
      <rPr>
        <sz val="15"/>
        <color indexed="8"/>
        <rFont val="Times New Roman"/>
        <family val="1"/>
      </rPr>
      <t xml:space="preserve">                                   </t>
    </r>
    <r>
      <rPr>
        <sz val="15"/>
        <color indexed="8"/>
        <rFont val="宋体"/>
        <family val="3"/>
        <charset val="134"/>
      </rPr>
      <t>年</t>
    </r>
    <r>
      <rPr>
        <sz val="15"/>
        <color indexed="8"/>
        <rFont val="Times New Roman"/>
        <family val="1"/>
      </rPr>
      <t xml:space="preserve">     </t>
    </r>
    <r>
      <rPr>
        <sz val="15"/>
        <color indexed="8"/>
        <rFont val="宋体"/>
        <family val="3"/>
        <charset val="134"/>
      </rPr>
      <t>月</t>
    </r>
    <r>
      <rPr>
        <sz val="16"/>
        <color indexed="8"/>
        <rFont val="Times New Roman"/>
        <family val="1"/>
      </rPr>
      <t xml:space="preserve">     </t>
    </r>
    <r>
      <rPr>
        <sz val="16"/>
        <color indexed="8"/>
        <rFont val="宋体"/>
        <family val="3"/>
        <charset val="134"/>
      </rPr>
      <t>日</t>
    </r>
  </si>
  <si>
    <t>祁阳市行知小学</t>
    <phoneticPr fontId="27" type="noConversion"/>
  </si>
  <si>
    <t>陈翠娥</t>
    <phoneticPr fontId="27" type="noConversion"/>
  </si>
  <si>
    <t>陈同心</t>
    <phoneticPr fontId="27" type="noConversion"/>
  </si>
  <si>
    <t>祁阳市羊角塘镇北祥街76号</t>
    <phoneticPr fontId="27" type="noConversion"/>
  </si>
  <si>
    <r>
      <t>2019</t>
    </r>
    <r>
      <rPr>
        <b/>
        <sz val="12"/>
        <color indexed="8"/>
        <rFont val="宋体"/>
        <family val="3"/>
        <charset val="134"/>
      </rPr>
      <t>年</t>
    </r>
    <phoneticPr fontId="27" type="noConversion"/>
  </si>
  <si>
    <r>
      <t>2020</t>
    </r>
    <r>
      <rPr>
        <b/>
        <sz val="12"/>
        <rFont val="宋体"/>
        <family val="3"/>
        <charset val="134"/>
      </rPr>
      <t>年</t>
    </r>
    <phoneticPr fontId="27" type="noConversion"/>
  </si>
  <si>
    <r>
      <t>2021</t>
    </r>
    <r>
      <rPr>
        <b/>
        <sz val="12"/>
        <rFont val="宋体"/>
        <family val="3"/>
        <charset val="134"/>
      </rPr>
      <t>年</t>
    </r>
    <phoneticPr fontId="27" type="noConversion"/>
  </si>
  <si>
    <t>327300</t>
    <phoneticPr fontId="27" type="noConversion"/>
  </si>
  <si>
    <t>2019年</t>
    <phoneticPr fontId="27" type="noConversion"/>
  </si>
  <si>
    <t>2020年</t>
    <phoneticPr fontId="27" type="noConversion"/>
  </si>
  <si>
    <t>2021年</t>
    <phoneticPr fontId="27" type="noConversion"/>
  </si>
  <si>
    <t>五、其他固定资产（绿化）</t>
    <phoneticPr fontId="27" type="noConversion"/>
  </si>
  <si>
    <t>校车</t>
    <phoneticPr fontId="27" type="noConversion"/>
  </si>
  <si>
    <t>祁阳市行知小学基本情况表</t>
    <phoneticPr fontId="27" type="noConversion"/>
  </si>
  <si>
    <t>祁阳市行知小学收入情况表</t>
    <phoneticPr fontId="27" type="noConversion"/>
  </si>
  <si>
    <t>祁阳市行知小学学生人数核定表</t>
    <phoneticPr fontId="27" type="noConversion"/>
  </si>
  <si>
    <t>祁阳市行知小学2019年教职工人数核定表</t>
    <phoneticPr fontId="27" type="noConversion"/>
  </si>
  <si>
    <t>祁阳市行知小学2020年教职工人数核定表</t>
    <phoneticPr fontId="27" type="noConversion"/>
  </si>
  <si>
    <t>祁阳市行知小学2021年教职工人数核定表</t>
    <phoneticPr fontId="27" type="noConversion"/>
  </si>
  <si>
    <t>祁阳市行知小学职工薪酬核定表</t>
    <phoneticPr fontId="27" type="noConversion"/>
  </si>
  <si>
    <t>祁阳市行知小学固定资产折旧计算表</t>
    <phoneticPr fontId="27" type="noConversion"/>
  </si>
  <si>
    <r>
      <t>2019</t>
    </r>
    <r>
      <rPr>
        <b/>
        <sz val="12"/>
        <rFont val="宋体"/>
        <family val="3"/>
        <charset val="134"/>
      </rPr>
      <t>年</t>
    </r>
    <phoneticPr fontId="27" type="noConversion"/>
  </si>
  <si>
    <r>
      <t>2020</t>
    </r>
    <r>
      <rPr>
        <b/>
        <sz val="12"/>
        <rFont val="宋体"/>
        <family val="3"/>
        <charset val="134"/>
      </rPr>
      <t>年</t>
    </r>
    <phoneticPr fontId="27" type="noConversion"/>
  </si>
  <si>
    <t>祁阳市行知小学教育成本归集表</t>
    <phoneticPr fontId="27" type="noConversion"/>
  </si>
  <si>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</si>
  <si>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</si>
  <si>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</si>
  <si>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</si>
  <si>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</si>
  <si>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</si>
  <si>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</si>
  <si>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</si>
  <si>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</si>
  <si>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</si>
  <si>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</si>
  <si>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</si>
  <si>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</si>
  <si>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</si>
  <si>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</si>
  <si>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</si>
  <si>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</si>
  <si>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2.</t>
    </r>
    <r>
      <rPr>
        <sz val="10"/>
        <color indexed="8"/>
        <rFont val="宋体"/>
        <family val="3"/>
        <charset val="134"/>
      </rPr>
      <t>印刷费</t>
    </r>
  </si>
  <si>
    <r>
      <t xml:space="preserve">    5.</t>
    </r>
    <r>
      <rPr>
        <sz val="10"/>
        <color indexed="8"/>
        <rFont val="宋体"/>
        <family val="3"/>
        <charset val="134"/>
      </rPr>
      <t>水费</t>
    </r>
  </si>
  <si>
    <r>
      <t xml:space="preserve">    6.</t>
    </r>
    <r>
      <rPr>
        <sz val="10"/>
        <color indexed="8"/>
        <rFont val="宋体"/>
        <family val="3"/>
        <charset val="134"/>
      </rPr>
      <t>电费</t>
    </r>
  </si>
  <si>
    <r>
      <t xml:space="preserve">    8.</t>
    </r>
    <r>
      <rPr>
        <sz val="10"/>
        <color indexed="8"/>
        <rFont val="宋体"/>
        <family val="3"/>
        <charset val="134"/>
      </rPr>
      <t>物业管理费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</si>
  <si>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</si>
  <si>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</si>
  <si>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</si>
  <si>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</si>
  <si>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</si>
  <si>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</si>
  <si>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17.</t>
    </r>
    <r>
      <rPr>
        <sz val="10"/>
        <color indexed="8"/>
        <rFont val="宋体"/>
        <family val="3"/>
        <charset val="134"/>
      </rPr>
      <t>劳务费</t>
    </r>
  </si>
  <si>
    <r>
      <t xml:space="preserve">    18.</t>
    </r>
    <r>
      <rPr>
        <sz val="10"/>
        <color indexed="8"/>
        <rFont val="宋体"/>
        <family val="3"/>
        <charset val="134"/>
      </rPr>
      <t>委托业务费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</si>
  <si>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</si>
  <si>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</si>
  <si>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</si>
  <si>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</si>
  <si>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</si>
  <si>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rPr>
        <b/>
        <sz val="10"/>
        <color indexed="8"/>
        <rFont val="宋体"/>
        <family val="3"/>
        <charset val="134"/>
      </rPr>
      <t>三、对个人和家庭的补助</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</si>
  <si>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</si>
  <si>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</si>
  <si>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</si>
  <si>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</si>
  <si>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</si>
  <si>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</si>
  <si>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</si>
  <si>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</si>
  <si>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</si>
  <si>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</si>
  <si>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</si>
  <si>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</si>
  <si>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</si>
  <si>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</si>
  <si>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</si>
  <si>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</si>
  <si>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rPr>
        <b/>
        <sz val="10"/>
        <rFont val="宋体"/>
        <family val="3"/>
        <charset val="134"/>
      </rPr>
      <t>七、学校总支出</t>
    </r>
  </si>
  <si>
    <r>
      <t xml:space="preserve">    3.</t>
    </r>
    <r>
      <rPr>
        <sz val="10"/>
        <color indexed="8"/>
        <rFont val="宋体"/>
        <family val="3"/>
        <charset val="134"/>
      </rPr>
      <t>咨询费（招生费）</t>
    </r>
    <phoneticPr fontId="27" type="noConversion"/>
  </si>
  <si>
    <r>
      <t xml:space="preserve">    4.</t>
    </r>
    <r>
      <rPr>
        <sz val="10"/>
        <color indexed="8"/>
        <rFont val="宋体"/>
        <family val="3"/>
        <charset val="134"/>
      </rPr>
      <t>手续费（付工程款）</t>
    </r>
    <phoneticPr fontId="27" type="noConversion"/>
  </si>
  <si>
    <r>
      <t xml:space="preserve">    7.</t>
    </r>
    <r>
      <rPr>
        <sz val="10"/>
        <color indexed="8"/>
        <rFont val="宋体"/>
        <family val="3"/>
        <charset val="134"/>
      </rPr>
      <t>邮电费</t>
    </r>
    <phoneticPr fontId="27" type="noConversion"/>
  </si>
  <si>
    <r>
      <t xml:space="preserve">    13.</t>
    </r>
    <r>
      <rPr>
        <sz val="10"/>
        <color indexed="8"/>
        <rFont val="宋体"/>
        <family val="3"/>
        <charset val="134"/>
      </rPr>
      <t>会议费</t>
    </r>
    <r>
      <rPr>
        <sz val="12"/>
        <color indexed="8"/>
        <rFont val="Times New Roman"/>
        <family val="1"/>
      </rPr>
      <t/>
    </r>
    <phoneticPr fontId="27" type="noConversion"/>
  </si>
  <si>
    <r>
      <t xml:space="preserve">    16.</t>
    </r>
    <r>
      <rPr>
        <sz val="10"/>
        <color indexed="8"/>
        <rFont val="宋体"/>
        <family val="3"/>
        <charset val="134"/>
      </rPr>
      <t>专用材料费（固定资产购物）</t>
    </r>
    <phoneticPr fontId="27" type="noConversion"/>
  </si>
  <si>
    <r>
      <t xml:space="preserve">    19.</t>
    </r>
    <r>
      <rPr>
        <sz val="10"/>
        <color indexed="8"/>
        <rFont val="宋体"/>
        <family val="3"/>
        <charset val="134"/>
      </rPr>
      <t>工会经费</t>
    </r>
    <phoneticPr fontId="27" type="noConversion"/>
  </si>
  <si>
    <r>
      <t xml:space="preserve">    3.</t>
    </r>
    <r>
      <rPr>
        <sz val="10"/>
        <rFont val="宋体"/>
        <family val="3"/>
        <charset val="134"/>
      </rPr>
      <t>手续费（还借款）</t>
    </r>
    <phoneticPr fontId="27" type="noConversion"/>
  </si>
  <si>
    <t>祁阳市行知小学生均教育培养成本核定表</t>
    <phoneticPr fontId="27" type="noConversion"/>
  </si>
  <si>
    <r>
      <rPr>
        <b/>
        <sz val="10"/>
        <color indexed="8"/>
        <rFont val="宋体"/>
        <family val="3"/>
        <charset val="134"/>
      </rPr>
      <t>教职工人数</t>
    </r>
  </si>
  <si>
    <r>
      <t>1</t>
    </r>
    <r>
      <rPr>
        <sz val="10"/>
        <rFont val="宋体"/>
        <family val="3"/>
        <charset val="134"/>
      </rPr>
      <t>、教学人员</t>
    </r>
  </si>
  <si>
    <r>
      <t xml:space="preserve">             </t>
    </r>
    <r>
      <rPr>
        <sz val="10"/>
        <color indexed="8"/>
        <rFont val="宋体"/>
        <family val="3"/>
        <charset val="134"/>
      </rPr>
      <t>小学部</t>
    </r>
  </si>
  <si>
    <r>
      <t xml:space="preserve">            </t>
    </r>
    <r>
      <rPr>
        <sz val="10"/>
        <color indexed="8"/>
        <rFont val="宋体"/>
        <family val="3"/>
        <charset val="134"/>
      </rPr>
      <t>初中部</t>
    </r>
  </si>
  <si>
    <r>
      <t xml:space="preserve">            </t>
    </r>
    <r>
      <rPr>
        <sz val="10"/>
        <color indexed="8"/>
        <rFont val="宋体"/>
        <family val="3"/>
        <charset val="134"/>
      </rPr>
      <t>高中部</t>
    </r>
  </si>
  <si>
    <r>
      <t>2</t>
    </r>
    <r>
      <rPr>
        <sz val="10"/>
        <rFont val="宋体"/>
        <family val="3"/>
        <charset val="134"/>
      </rPr>
      <t>、教学辅助人员</t>
    </r>
  </si>
  <si>
    <r>
      <t>3</t>
    </r>
    <r>
      <rPr>
        <sz val="10"/>
        <rFont val="宋体"/>
        <family val="3"/>
        <charset val="134"/>
      </rPr>
      <t>、行政管理人员</t>
    </r>
  </si>
  <si>
    <r>
      <t>4</t>
    </r>
    <r>
      <rPr>
        <sz val="10"/>
        <rFont val="宋体"/>
        <family val="3"/>
        <charset val="134"/>
      </rPr>
      <t>、后勤工作人员</t>
    </r>
  </si>
  <si>
    <r>
      <t>5</t>
    </r>
    <r>
      <rPr>
        <sz val="10"/>
        <rFont val="宋体"/>
        <family val="3"/>
        <charset val="134"/>
      </rPr>
      <t>、生活辅导人员</t>
    </r>
  </si>
  <si>
    <r>
      <rPr>
        <sz val="10"/>
        <rFont val="宋体"/>
        <family val="3"/>
        <charset val="134"/>
      </rPr>
      <t>（二）其他人员</t>
    </r>
  </si>
  <si>
    <r>
      <t xml:space="preserve">    1</t>
    </r>
    <r>
      <rPr>
        <sz val="10"/>
        <rFont val="宋体"/>
        <family val="3"/>
        <charset val="134"/>
      </rPr>
      <t>、短期聘用人员</t>
    </r>
  </si>
  <si>
    <r>
      <t xml:space="preserve">    2</t>
    </r>
    <r>
      <rPr>
        <sz val="10"/>
        <rFont val="宋体"/>
        <family val="3"/>
        <charset val="134"/>
      </rPr>
      <t>、离退休人员</t>
    </r>
  </si>
  <si>
    <r>
      <t xml:space="preserve">    3</t>
    </r>
    <r>
      <rPr>
        <sz val="10"/>
        <rFont val="宋体"/>
        <family val="3"/>
        <charset val="134"/>
      </rPr>
      <t>、劳务派遣人员</t>
    </r>
  </si>
  <si>
    <r>
      <t xml:space="preserve">    4</t>
    </r>
    <r>
      <rPr>
        <sz val="10"/>
        <rFont val="宋体"/>
        <family val="3"/>
        <charset val="134"/>
      </rPr>
      <t>、其他临时人员</t>
    </r>
  </si>
  <si>
    <r>
      <rPr>
        <b/>
        <sz val="10"/>
        <color indexed="8"/>
        <rFont val="宋体"/>
        <family val="3"/>
        <charset val="134"/>
      </rPr>
      <t>项目</t>
    </r>
  </si>
  <si>
    <r>
      <t>2019</t>
    </r>
    <r>
      <rPr>
        <b/>
        <sz val="10"/>
        <color indexed="8"/>
        <rFont val="宋体"/>
        <family val="3"/>
        <charset val="134"/>
      </rPr>
      <t>年上报数</t>
    </r>
  </si>
  <si>
    <r>
      <rPr>
        <b/>
        <sz val="10"/>
        <color indexed="8"/>
        <rFont val="宋体"/>
        <family val="3"/>
        <charset val="134"/>
      </rPr>
      <t>最高限额</t>
    </r>
  </si>
  <si>
    <r>
      <t>2019</t>
    </r>
    <r>
      <rPr>
        <b/>
        <sz val="10"/>
        <color indexed="8"/>
        <rFont val="宋体"/>
        <family val="3"/>
        <charset val="134"/>
      </rPr>
      <t>年核减数</t>
    </r>
  </si>
  <si>
    <r>
      <rPr>
        <b/>
        <sz val="10"/>
        <color indexed="8"/>
        <rFont val="宋体"/>
        <family val="3"/>
        <charset val="134"/>
      </rPr>
      <t>最低限额</t>
    </r>
  </si>
  <si>
    <r>
      <rPr>
        <sz val="10"/>
        <rFont val="宋体"/>
        <family val="3"/>
        <charset val="134"/>
      </rPr>
      <t>职工薪酬</t>
    </r>
  </si>
  <si>
    <r>
      <rPr>
        <sz val="10"/>
        <rFont val="宋体"/>
        <family val="3"/>
        <charset val="134"/>
      </rPr>
      <t>职工福利费</t>
    </r>
  </si>
  <si>
    <r>
      <t>社会保障费</t>
    </r>
    <r>
      <rPr>
        <sz val="10"/>
        <rFont val="Times New Roman"/>
        <family val="1"/>
      </rPr>
      <t>(</t>
    </r>
    <r>
      <rPr>
        <sz val="10"/>
        <rFont val="宋体"/>
        <family val="3"/>
        <charset val="134"/>
      </rPr>
      <t>五险</t>
    </r>
    <r>
      <rPr>
        <sz val="10"/>
        <rFont val="Times New Roman"/>
        <family val="1"/>
      </rPr>
      <t>)</t>
    </r>
  </si>
  <si>
    <r>
      <rPr>
        <sz val="10"/>
        <rFont val="宋体"/>
        <family val="3"/>
        <charset val="134"/>
      </rPr>
      <t>企业年金</t>
    </r>
  </si>
  <si>
    <r>
      <rPr>
        <sz val="10"/>
        <rFont val="宋体"/>
        <family val="3"/>
        <charset val="134"/>
      </rPr>
      <t>住房公积金</t>
    </r>
  </si>
  <si>
    <r>
      <rPr>
        <sz val="10"/>
        <rFont val="宋体"/>
        <family val="3"/>
        <charset val="134"/>
      </rPr>
      <t>工会经费</t>
    </r>
  </si>
  <si>
    <r>
      <rPr>
        <sz val="10"/>
        <rFont val="宋体"/>
        <family val="3"/>
        <charset val="134"/>
      </rPr>
      <t>职工教育经费</t>
    </r>
  </si>
  <si>
    <r>
      <t>2020</t>
    </r>
    <r>
      <rPr>
        <b/>
        <sz val="10"/>
        <color indexed="8"/>
        <rFont val="宋体"/>
        <family val="3"/>
        <charset val="134"/>
      </rPr>
      <t>年上报数</t>
    </r>
  </si>
  <si>
    <r>
      <t>2020</t>
    </r>
    <r>
      <rPr>
        <b/>
        <sz val="10"/>
        <color indexed="8"/>
        <rFont val="宋体"/>
        <family val="3"/>
        <charset val="134"/>
      </rPr>
      <t>年核减数</t>
    </r>
  </si>
  <si>
    <r>
      <t>2021</t>
    </r>
    <r>
      <rPr>
        <b/>
        <sz val="10"/>
        <color indexed="8"/>
        <rFont val="宋体"/>
        <family val="3"/>
        <charset val="134"/>
      </rPr>
      <t>年上报数</t>
    </r>
  </si>
  <si>
    <r>
      <t>2021</t>
    </r>
    <r>
      <rPr>
        <b/>
        <sz val="10"/>
        <color indexed="8"/>
        <rFont val="宋体"/>
        <family val="3"/>
        <charset val="134"/>
      </rPr>
      <t>年核减数</t>
    </r>
  </si>
</sst>
</file>

<file path=xl/styles.xml><?xml version="1.0" encoding="utf-8"?>
<styleSheet xmlns="http://schemas.openxmlformats.org/spreadsheetml/2006/main">
  <numFmts count="6">
    <numFmt numFmtId="43" formatCode="_ * #,##0.00_ ;_ * \-#,##0.00_ ;_ * &quot;-&quot;??_ ;_ @_ "/>
    <numFmt numFmtId="176" formatCode="#,##0.00_ "/>
    <numFmt numFmtId="177" formatCode="0_ "/>
    <numFmt numFmtId="178" formatCode="#,##0.00_);[Red]\(#,##0.00\)"/>
    <numFmt numFmtId="179" formatCode="0_);[Red]\(0\)"/>
    <numFmt numFmtId="180" formatCode="0.00_);[Red]\(0.00\)"/>
  </numFmts>
  <fonts count="37">
    <font>
      <sz val="11"/>
      <color theme="1"/>
      <name val="宋体"/>
      <charset val="134"/>
      <scheme val="minor"/>
    </font>
    <font>
      <b/>
      <sz val="26"/>
      <color indexed="8"/>
      <name val="方正黑体_GBK"/>
      <charset val="134"/>
    </font>
    <font>
      <sz val="15"/>
      <color indexed="8"/>
      <name val="宋体"/>
      <family val="3"/>
      <charset val="134"/>
    </font>
    <font>
      <sz val="15"/>
      <color indexed="8"/>
      <name val="Calibri"/>
      <family val="2"/>
    </font>
    <font>
      <sz val="15"/>
      <color indexed="8"/>
      <name val="Times New Roman"/>
      <family val="1"/>
    </font>
    <font>
      <b/>
      <sz val="12"/>
      <color indexed="8"/>
      <name val="Times New Roman"/>
      <family val="1"/>
    </font>
    <font>
      <b/>
      <sz val="12"/>
      <name val="Times New Roman"/>
      <family val="1"/>
    </font>
    <font>
      <sz val="12"/>
      <name val="Times New Roman"/>
      <family val="1"/>
    </font>
    <font>
      <sz val="12"/>
      <color indexed="8"/>
      <name val="Times New Roman"/>
      <family val="1"/>
    </font>
    <font>
      <b/>
      <sz val="20"/>
      <name val="方正小标宋简体"/>
      <family val="4"/>
      <charset val="134"/>
    </font>
    <font>
      <sz val="12"/>
      <name val="宋体"/>
      <family val="3"/>
      <charset val="134"/>
    </font>
    <font>
      <b/>
      <sz val="12"/>
      <color indexed="8"/>
      <name val="Times New Roman"/>
      <family val="1"/>
    </font>
    <font>
      <b/>
      <sz val="12"/>
      <name val="宋体"/>
      <family val="3"/>
      <charset val="134"/>
    </font>
    <font>
      <sz val="12"/>
      <color indexed="8"/>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indexed="8"/>
      <name val="宋体"/>
      <family val="3"/>
      <charset val="134"/>
    </font>
    <font>
      <sz val="16"/>
      <color indexed="8"/>
      <name val="方正楷体简体"/>
      <charset val="134"/>
    </font>
    <font>
      <sz val="12"/>
      <name val="Calibri"/>
      <family val="2"/>
    </font>
    <font>
      <sz val="16"/>
      <color indexed="8"/>
      <name val="Times New Roman"/>
      <family val="1"/>
    </font>
    <font>
      <sz val="16"/>
      <color indexed="8"/>
      <name val="宋体"/>
      <family val="3"/>
      <charset val="134"/>
    </font>
    <font>
      <b/>
      <sz val="12"/>
      <color indexed="8"/>
      <name val="宋体"/>
      <family val="3"/>
      <charset val="134"/>
    </font>
    <font>
      <sz val="16"/>
      <name val="宋体"/>
      <family val="3"/>
      <charset val="134"/>
    </font>
    <font>
      <sz val="9"/>
      <name val="宋体"/>
      <family val="3"/>
      <charset val="134"/>
    </font>
    <font>
      <b/>
      <sz val="18"/>
      <name val="方正小标宋简体"/>
      <family val="4"/>
      <charset val="134"/>
    </font>
    <font>
      <b/>
      <sz val="10"/>
      <name val="宋体"/>
      <family val="3"/>
      <charset val="134"/>
    </font>
    <font>
      <sz val="10"/>
      <name val="宋体"/>
      <family val="3"/>
      <charset val="134"/>
    </font>
    <font>
      <sz val="10"/>
      <color indexed="8"/>
      <name val="Times New Roman"/>
      <family val="1"/>
    </font>
    <font>
      <sz val="10"/>
      <color indexed="8"/>
      <name val="宋体"/>
      <family val="3"/>
      <charset val="134"/>
    </font>
    <font>
      <b/>
      <sz val="10"/>
      <color indexed="8"/>
      <name val="Times New Roman"/>
      <family val="1"/>
    </font>
    <font>
      <b/>
      <sz val="10"/>
      <color indexed="8"/>
      <name val="宋体"/>
      <family val="3"/>
      <charset val="134"/>
    </font>
    <font>
      <sz val="10"/>
      <color theme="1"/>
      <name val="宋体"/>
      <family val="3"/>
      <charset val="134"/>
      <scheme val="minor"/>
    </font>
    <font>
      <b/>
      <sz val="18"/>
      <color indexed="8"/>
      <name val="方正小标宋简体"/>
      <family val="4"/>
      <charset val="13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15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0" fillId="0" borderId="0" xfId="0" applyAlignment="1">
      <alignment horizontal="center" vertical="center"/>
    </xf>
    <xf numFmtId="0" fontId="5"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Fill="1" applyBorder="1" applyAlignment="1" applyProtection="1">
      <alignment vertical="center" wrapText="1"/>
    </xf>
    <xf numFmtId="0" fontId="7" fillId="0" borderId="1" xfId="2" applyFont="1" applyBorder="1" applyAlignment="1">
      <alignment horizontal="center" vertical="center" wrapText="1"/>
    </xf>
    <xf numFmtId="0" fontId="6" fillId="0" borderId="1" xfId="2" applyFont="1" applyFill="1" applyBorder="1" applyAlignment="1" applyProtection="1">
      <alignment horizontal="left" vertical="center" wrapText="1"/>
    </xf>
    <xf numFmtId="9" fontId="7" fillId="0" borderId="1" xfId="2" applyNumberFormat="1" applyFont="1" applyBorder="1" applyAlignment="1">
      <alignment horizontal="center" vertical="center" wrapText="1"/>
    </xf>
    <xf numFmtId="0" fontId="8" fillId="0" borderId="1" xfId="2" applyFont="1" applyBorder="1" applyAlignment="1">
      <alignment horizontal="justify" vertical="center" wrapText="1"/>
    </xf>
    <xf numFmtId="0" fontId="5" fillId="0" borderId="1" xfId="2" applyFont="1" applyBorder="1" applyAlignment="1">
      <alignment horizontal="justify" vertical="center" wrapText="1"/>
    </xf>
    <xf numFmtId="0" fontId="10" fillId="0" borderId="0" xfId="1" applyFont="1" applyFill="1" applyBorder="1" applyAlignment="1"/>
    <xf numFmtId="0" fontId="11" fillId="0" borderId="1" xfId="2" applyFont="1" applyFill="1" applyBorder="1" applyAlignment="1">
      <alignment horizontal="center" vertical="center"/>
    </xf>
    <xf numFmtId="176" fontId="7" fillId="0" borderId="1" xfId="2" applyNumberFormat="1" applyFont="1" applyFill="1" applyBorder="1" applyAlignment="1">
      <alignment horizontal="center" vertical="center"/>
    </xf>
    <xf numFmtId="0" fontId="7" fillId="0" borderId="1" xfId="2" applyFont="1" applyBorder="1">
      <alignment vertical="center"/>
    </xf>
    <xf numFmtId="0" fontId="11" fillId="0" borderId="1" xfId="1" applyFont="1" applyFill="1" applyBorder="1" applyAlignment="1">
      <alignment horizontal="center" vertical="center" wrapText="1"/>
    </xf>
    <xf numFmtId="0" fontId="7" fillId="0" borderId="1" xfId="1" applyFont="1" applyBorder="1" applyAlignment="1">
      <alignment horizontal="center" vertical="center"/>
    </xf>
    <xf numFmtId="177" fontId="7" fillId="0" borderId="1" xfId="1" applyNumberFormat="1" applyFont="1" applyBorder="1" applyAlignment="1">
      <alignment horizontal="center" vertical="center"/>
    </xf>
    <xf numFmtId="0" fontId="7" fillId="0" borderId="1" xfId="2" applyFont="1" applyFill="1" applyBorder="1" applyAlignment="1" applyProtection="1">
      <alignment horizontal="left" vertical="center" indent="2"/>
    </xf>
    <xf numFmtId="0" fontId="7" fillId="0" borderId="0" xfId="1" applyFont="1">
      <alignment vertical="center"/>
    </xf>
    <xf numFmtId="0" fontId="14" fillId="0" borderId="0" xfId="1" applyFont="1" applyFill="1" applyAlignment="1" applyProtection="1">
      <alignment vertical="center" wrapText="1"/>
    </xf>
    <xf numFmtId="0" fontId="10" fillId="0" borderId="0" xfId="1">
      <alignment vertical="center"/>
    </xf>
    <xf numFmtId="0" fontId="12" fillId="0" borderId="2"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12" fillId="0" borderId="2"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xf>
    <xf numFmtId="0" fontId="7" fillId="0" borderId="2" xfId="1" applyFont="1" applyFill="1" applyBorder="1" applyAlignment="1" applyProtection="1">
      <alignment vertical="center"/>
    </xf>
    <xf numFmtId="177" fontId="7" fillId="0" borderId="1" xfId="1" applyNumberFormat="1" applyFont="1" applyFill="1" applyBorder="1" applyAlignment="1" applyProtection="1">
      <alignment horizontal="center" vertical="center" wrapText="1"/>
    </xf>
    <xf numFmtId="0" fontId="12" fillId="0" borderId="2" xfId="1" applyFont="1" applyFill="1" applyBorder="1" applyAlignment="1" applyProtection="1">
      <alignment vertical="center"/>
    </xf>
    <xf numFmtId="10" fontId="7" fillId="0" borderId="1" xfId="1" applyNumberFormat="1" applyFont="1" applyFill="1" applyBorder="1" applyAlignment="1" applyProtection="1">
      <alignment horizontal="center" vertical="center" wrapText="1"/>
    </xf>
    <xf numFmtId="0" fontId="10" fillId="0" borderId="2" xfId="1" applyFont="1" applyFill="1" applyBorder="1" applyAlignment="1" applyProtection="1">
      <alignment vertical="center"/>
    </xf>
    <xf numFmtId="176" fontId="7" fillId="0" borderId="1" xfId="1"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right" vertical="center" wrapText="1"/>
    </xf>
    <xf numFmtId="178" fontId="7" fillId="0" borderId="1" xfId="1" applyNumberFormat="1" applyFont="1" applyFill="1" applyBorder="1" applyAlignment="1" applyProtection="1">
      <alignment horizontal="right" vertical="center" wrapText="1"/>
    </xf>
    <xf numFmtId="0" fontId="7" fillId="0" borderId="2" xfId="1" applyFont="1" applyFill="1" applyBorder="1" applyAlignment="1" applyProtection="1">
      <alignment horizontal="left" vertical="center"/>
    </xf>
    <xf numFmtId="176" fontId="7" fillId="0" borderId="1" xfId="1" applyNumberFormat="1" applyFont="1" applyFill="1" applyBorder="1" applyAlignment="1" applyProtection="1">
      <alignment horizontal="right" vertical="center" wrapText="1"/>
    </xf>
    <xf numFmtId="0" fontId="14" fillId="0" borderId="0" xfId="1" applyFont="1">
      <alignment vertical="center"/>
    </xf>
    <xf numFmtId="0" fontId="7" fillId="0" borderId="0" xfId="1" applyFont="1" applyAlignment="1">
      <alignment horizontal="center" vertical="center"/>
    </xf>
    <xf numFmtId="0" fontId="18" fillId="0" borderId="0" xfId="2" applyFont="1" applyFill="1" applyAlignment="1" applyProtection="1">
      <alignment vertical="center" wrapText="1"/>
    </xf>
    <xf numFmtId="0" fontId="10" fillId="0" borderId="0" xfId="2">
      <alignment vertical="center"/>
    </xf>
    <xf numFmtId="0" fontId="19" fillId="0" borderId="3" xfId="2" applyFont="1" applyFill="1" applyBorder="1" applyAlignment="1" applyProtection="1">
      <alignment vertical="center" wrapText="1"/>
    </xf>
    <xf numFmtId="0" fontId="19" fillId="0" borderId="3" xfId="2" applyFont="1" applyFill="1" applyBorder="1" applyAlignment="1" applyProtection="1">
      <alignment horizontal="right" vertical="center" wrapText="1"/>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vertical="center" wrapText="1"/>
    </xf>
    <xf numFmtId="178" fontId="10" fillId="0" borderId="1" xfId="2" applyNumberFormat="1" applyFont="1" applyFill="1" applyBorder="1" applyAlignment="1" applyProtection="1">
      <alignment horizontal="right" vertical="center" wrapText="1"/>
    </xf>
    <xf numFmtId="0" fontId="10" fillId="0" borderId="1" xfId="2" applyFont="1" applyFill="1" applyBorder="1" applyAlignment="1" applyProtection="1">
      <alignment horizontal="left" vertical="center" wrapText="1"/>
    </xf>
    <xf numFmtId="178" fontId="10" fillId="0" borderId="1" xfId="2" applyNumberFormat="1" applyFont="1" applyFill="1" applyBorder="1" applyAlignment="1" applyProtection="1">
      <alignment vertical="center" wrapText="1"/>
    </xf>
    <xf numFmtId="0" fontId="20" fillId="0" borderId="1" xfId="2" applyFont="1" applyFill="1" applyBorder="1" applyAlignment="1" applyProtection="1">
      <alignment horizontal="left" vertical="center" wrapText="1"/>
    </xf>
    <xf numFmtId="0" fontId="10" fillId="0" borderId="1" xfId="2" applyFont="1" applyFill="1" applyBorder="1" applyAlignment="1" applyProtection="1">
      <alignment vertical="center"/>
    </xf>
    <xf numFmtId="178" fontId="10" fillId="0" borderId="1" xfId="2" applyNumberFormat="1" applyFont="1" applyFill="1" applyBorder="1" applyAlignment="1" applyProtection="1">
      <alignment vertical="center"/>
    </xf>
    <xf numFmtId="0" fontId="12" fillId="0" borderId="1" xfId="2" applyFont="1" applyFill="1" applyBorder="1" applyAlignment="1" applyProtection="1">
      <alignment vertical="center"/>
    </xf>
    <xf numFmtId="0" fontId="10" fillId="0" borderId="1" xfId="2" applyFont="1" applyFill="1" applyBorder="1" applyAlignment="1" applyProtection="1">
      <alignment horizontal="right" vertical="center" wrapText="1"/>
    </xf>
    <xf numFmtId="0" fontId="10" fillId="0" borderId="1" xfId="2" applyFont="1" applyFill="1" applyBorder="1" applyAlignment="1" applyProtection="1">
      <alignment horizontal="left" vertical="center" indent="1"/>
    </xf>
    <xf numFmtId="0" fontId="14" fillId="0" borderId="0" xfId="2" applyFont="1">
      <alignment vertical="center"/>
    </xf>
    <xf numFmtId="0" fontId="17"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Border="1" applyAlignment="1">
      <alignment horizontal="center" vertical="center"/>
    </xf>
    <xf numFmtId="0" fontId="17" fillId="0" borderId="1" xfId="2" applyFont="1" applyFill="1" applyBorder="1" applyAlignment="1">
      <alignment horizontal="left" vertical="center" wrapText="1"/>
    </xf>
    <xf numFmtId="0" fontId="7" fillId="0" borderId="1" xfId="2" applyFont="1" applyBorder="1" applyAlignment="1">
      <alignment horizontal="center" vertical="center"/>
    </xf>
    <xf numFmtId="0" fontId="16" fillId="0" borderId="1"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177" fontId="7" fillId="0" borderId="1" xfId="2" applyNumberFormat="1" applyFont="1" applyBorder="1" applyAlignment="1">
      <alignment horizontal="center" vertical="center"/>
    </xf>
    <xf numFmtId="0" fontId="6" fillId="0" borderId="1" xfId="2" applyFont="1" applyBorder="1" applyAlignment="1">
      <alignment horizontal="left" vertical="center"/>
    </xf>
    <xf numFmtId="0" fontId="11" fillId="0" borderId="1" xfId="2" applyFont="1" applyFill="1" applyBorder="1" applyAlignment="1">
      <alignment horizontal="left" vertical="center"/>
    </xf>
    <xf numFmtId="0" fontId="7" fillId="0" borderId="1" xfId="2" applyFont="1" applyFill="1" applyBorder="1" applyAlignment="1" applyProtection="1">
      <alignment horizontal="left" vertical="center" indent="1"/>
    </xf>
    <xf numFmtId="0" fontId="7" fillId="0" borderId="1" xfId="2" applyFont="1" applyFill="1" applyBorder="1" applyAlignment="1" applyProtection="1">
      <alignment horizontal="center" vertical="center"/>
    </xf>
    <xf numFmtId="176" fontId="8" fillId="0" borderId="1" xfId="2" applyNumberFormat="1" applyFont="1" applyFill="1" applyBorder="1" applyAlignment="1">
      <alignment horizontal="left" vertical="center"/>
    </xf>
    <xf numFmtId="176" fontId="8" fillId="0" borderId="1" xfId="2" applyNumberFormat="1" applyFont="1" applyFill="1" applyBorder="1" applyAlignment="1">
      <alignment horizontal="center" vertical="center"/>
    </xf>
    <xf numFmtId="176" fontId="13" fillId="0" borderId="1" xfId="2" applyNumberFormat="1" applyFont="1" applyFill="1" applyBorder="1" applyAlignment="1">
      <alignment horizontal="left" vertical="center"/>
    </xf>
    <xf numFmtId="176" fontId="13" fillId="0" borderId="1" xfId="2" applyNumberFormat="1" applyFont="1" applyFill="1" applyBorder="1" applyAlignment="1">
      <alignment horizontal="center" vertical="center"/>
    </xf>
    <xf numFmtId="0" fontId="6" fillId="0" borderId="1" xfId="2" applyFont="1" applyFill="1" applyBorder="1" applyAlignment="1" applyProtection="1">
      <alignment horizontal="center" vertical="center" wrapText="1"/>
    </xf>
    <xf numFmtId="49" fontId="8" fillId="0" borderId="1" xfId="2" applyNumberFormat="1" applyFont="1" applyFill="1" applyBorder="1" applyAlignment="1" applyProtection="1">
      <alignment horizontal="left" vertical="center"/>
    </xf>
    <xf numFmtId="49" fontId="8" fillId="0" borderId="1" xfId="2" applyNumberFormat="1" applyFont="1" applyFill="1" applyBorder="1" applyAlignment="1" applyProtection="1">
      <alignment horizontal="center" vertical="center"/>
    </xf>
    <xf numFmtId="0" fontId="14" fillId="0" borderId="0" xfId="1" applyFont="1" applyBorder="1" applyAlignment="1">
      <alignment horizontal="justify" wrapText="1"/>
    </xf>
    <xf numFmtId="0" fontId="10" fillId="0" borderId="4" xfId="1" applyFont="1" applyBorder="1" applyAlignment="1">
      <alignment horizontal="justify" wrapText="1"/>
    </xf>
    <xf numFmtId="0" fontId="22" fillId="0" borderId="4" xfId="1" applyFont="1" applyBorder="1" applyAlignment="1">
      <alignment horizontal="justify" wrapText="1"/>
    </xf>
    <xf numFmtId="31" fontId="22" fillId="0" borderId="5" xfId="1" applyNumberFormat="1" applyFont="1" applyBorder="1" applyAlignment="1">
      <alignment horizontal="justify" wrapText="1"/>
    </xf>
    <xf numFmtId="0" fontId="7" fillId="0" borderId="0" xfId="2" applyFont="1" applyBorder="1">
      <alignment vertical="center"/>
    </xf>
    <xf numFmtId="43" fontId="0" fillId="0" borderId="1" xfId="0" applyNumberFormat="1" applyBorder="1">
      <alignment vertical="center"/>
    </xf>
    <xf numFmtId="0" fontId="13" fillId="0" borderId="1" xfId="2" applyFont="1" applyFill="1" applyBorder="1" applyAlignment="1">
      <alignment horizontal="justify" vertical="center" wrapText="1"/>
    </xf>
    <xf numFmtId="0" fontId="0" fillId="0" borderId="1" xfId="0" applyBorder="1" applyAlignment="1">
      <alignment horizontal="center" vertical="center"/>
    </xf>
    <xf numFmtId="179" fontId="11" fillId="0" borderId="1" xfId="1" applyNumberFormat="1" applyFont="1" applyFill="1" applyBorder="1" applyAlignment="1">
      <alignment horizontal="center" vertical="center" wrapText="1"/>
    </xf>
    <xf numFmtId="180" fontId="7" fillId="0" borderId="1" xfId="2" applyNumberFormat="1" applyFont="1" applyBorder="1" applyAlignment="1">
      <alignment horizontal="center" vertical="center" wrapText="1"/>
    </xf>
    <xf numFmtId="180" fontId="10" fillId="0" borderId="1" xfId="2" applyNumberFormat="1" applyFont="1" applyBorder="1" applyAlignment="1">
      <alignment horizontal="center" vertical="center" wrapText="1"/>
    </xf>
    <xf numFmtId="0" fontId="9" fillId="0" borderId="0" xfId="1" applyFont="1" applyFill="1" applyAlignment="1" applyProtection="1">
      <alignment horizontal="center" vertical="center"/>
    </xf>
    <xf numFmtId="0" fontId="21" fillId="0" borderId="0" xfId="1" applyFont="1" applyAlignment="1">
      <alignment horizontal="center" vertical="center" wrapText="1"/>
    </xf>
    <xf numFmtId="0" fontId="12" fillId="0" borderId="0" xfId="2" applyFont="1" applyFill="1" applyAlignment="1" applyProtection="1">
      <alignment horizontal="left" vertical="center"/>
    </xf>
    <xf numFmtId="0" fontId="6" fillId="0" borderId="0" xfId="2" applyFont="1" applyFill="1" applyAlignment="1" applyProtection="1">
      <alignment horizontal="left" vertical="center"/>
    </xf>
    <xf numFmtId="0" fontId="7" fillId="0" borderId="6" xfId="2" applyFont="1" applyBorder="1" applyAlignment="1">
      <alignment horizontal="left" vertical="center" wrapText="1"/>
    </xf>
    <xf numFmtId="0" fontId="7" fillId="0" borderId="8" xfId="2" applyFont="1" applyBorder="1" applyAlignment="1">
      <alignment horizontal="left" vertical="center" wrapText="1"/>
    </xf>
    <xf numFmtId="0" fontId="7" fillId="0" borderId="7" xfId="2" applyFont="1" applyBorder="1" applyAlignment="1">
      <alignment horizontal="left" vertical="center" wrapText="1"/>
    </xf>
    <xf numFmtId="0" fontId="7" fillId="0" borderId="1" xfId="2" applyFont="1" applyBorder="1" applyAlignment="1">
      <alignment horizontal="center" vertical="center" wrapText="1"/>
    </xf>
    <xf numFmtId="0" fontId="15" fillId="0" borderId="3" xfId="1" applyFont="1" applyFill="1" applyBorder="1" applyAlignment="1" applyProtection="1">
      <alignment horizontal="left" vertical="center" wrapText="1"/>
    </xf>
    <xf numFmtId="178" fontId="7" fillId="0" borderId="2" xfId="1" applyNumberFormat="1" applyFont="1" applyFill="1" applyBorder="1" applyAlignment="1" applyProtection="1">
      <alignment horizontal="center" vertical="center" wrapText="1"/>
    </xf>
    <xf numFmtId="178" fontId="7" fillId="0" borderId="9" xfId="1" applyNumberFormat="1" applyFont="1" applyFill="1" applyBorder="1" applyAlignment="1" applyProtection="1">
      <alignment horizontal="center" vertical="center" wrapText="1"/>
    </xf>
    <xf numFmtId="178" fontId="7" fillId="0" borderId="10" xfId="1" applyNumberFormat="1" applyFont="1" applyFill="1" applyBorder="1" applyAlignment="1" applyProtection="1">
      <alignment horizontal="center" vertical="center" wrapText="1"/>
    </xf>
    <xf numFmtId="178" fontId="6" fillId="0" borderId="2" xfId="1" applyNumberFormat="1" applyFont="1" applyFill="1" applyBorder="1" applyAlignment="1" applyProtection="1">
      <alignment horizontal="center" vertical="center" wrapText="1"/>
    </xf>
    <xf numFmtId="178" fontId="6" fillId="0" borderId="9" xfId="1" applyNumberFormat="1" applyFont="1" applyFill="1" applyBorder="1" applyAlignment="1" applyProtection="1">
      <alignment horizontal="center" vertical="center" wrapText="1"/>
    </xf>
    <xf numFmtId="178" fontId="6" fillId="0" borderId="10" xfId="1" applyNumberFormat="1" applyFont="1" applyFill="1" applyBorder="1" applyAlignment="1" applyProtection="1">
      <alignment horizontal="center" vertical="center" wrapText="1"/>
    </xf>
    <xf numFmtId="0" fontId="9" fillId="0" borderId="0" xfId="1" applyFont="1" applyFill="1" applyBorder="1" applyAlignment="1">
      <alignment horizontal="center" vertical="center"/>
    </xf>
    <xf numFmtId="0" fontId="28" fillId="0" borderId="0" xfId="1" applyFont="1" applyAlignment="1">
      <alignment horizontal="center" vertical="center"/>
    </xf>
    <xf numFmtId="0" fontId="15" fillId="2" borderId="1" xfId="1" applyFont="1" applyFill="1" applyBorder="1" applyAlignment="1" applyProtection="1">
      <alignment vertical="center"/>
    </xf>
    <xf numFmtId="176" fontId="19" fillId="2" borderId="1" xfId="1" applyNumberFormat="1" applyFont="1" applyFill="1" applyBorder="1">
      <alignment vertical="center"/>
    </xf>
    <xf numFmtId="0" fontId="19" fillId="2" borderId="1" xfId="1" applyFont="1" applyFill="1" applyBorder="1" applyAlignment="1" applyProtection="1">
      <alignment horizontal="left" vertical="center" indent="1"/>
    </xf>
    <xf numFmtId="49" fontId="31" fillId="2" borderId="1" xfId="1" applyNumberFormat="1" applyFont="1" applyFill="1" applyBorder="1" applyAlignment="1" applyProtection="1">
      <alignment horizontal="left" vertical="center"/>
    </xf>
    <xf numFmtId="49" fontId="33" fillId="2" borderId="1" xfId="1" applyNumberFormat="1" applyFont="1" applyFill="1" applyBorder="1" applyAlignment="1" applyProtection="1">
      <alignment horizontal="left" vertical="center"/>
    </xf>
    <xf numFmtId="0" fontId="15" fillId="2" borderId="1" xfId="1" applyFont="1" applyFill="1" applyBorder="1" applyAlignment="1" applyProtection="1">
      <alignment horizontal="left" vertical="center" wrapText="1"/>
    </xf>
    <xf numFmtId="0" fontId="15" fillId="2" borderId="1" xfId="1" applyFont="1" applyFill="1" applyBorder="1">
      <alignment vertical="center"/>
    </xf>
    <xf numFmtId="0" fontId="19" fillId="2" borderId="1" xfId="1" applyFont="1" applyFill="1" applyBorder="1">
      <alignment vertical="center"/>
    </xf>
    <xf numFmtId="0" fontId="15" fillId="2" borderId="1" xfId="1" applyFont="1" applyFill="1" applyBorder="1" applyAlignment="1" applyProtection="1">
      <alignment horizontal="center" vertical="center" wrapText="1"/>
    </xf>
    <xf numFmtId="0" fontId="28" fillId="0" borderId="0" xfId="2" applyFont="1" applyFill="1" applyAlignment="1" applyProtection="1">
      <alignment horizontal="center" vertical="center"/>
    </xf>
    <xf numFmtId="0" fontId="28" fillId="0" borderId="0" xfId="2" applyFont="1" applyFill="1" applyAlignment="1" applyProtection="1">
      <alignment horizontal="center" vertical="center" wrapText="1"/>
    </xf>
    <xf numFmtId="0" fontId="28" fillId="0" borderId="0" xfId="1" applyFont="1" applyFill="1" applyAlignment="1" applyProtection="1">
      <alignment horizontal="center" vertical="center" wrapText="1"/>
    </xf>
    <xf numFmtId="179" fontId="28" fillId="0" borderId="0" xfId="1" applyNumberFormat="1" applyFont="1" applyAlignment="1">
      <alignment horizontal="center" vertical="center"/>
    </xf>
    <xf numFmtId="179" fontId="33" fillId="2" borderId="1" xfId="1" applyNumberFormat="1" applyFont="1" applyFill="1" applyBorder="1" applyAlignment="1">
      <alignment horizontal="center" vertical="center"/>
    </xf>
    <xf numFmtId="179" fontId="33" fillId="0" borderId="1" xfId="1" applyNumberFormat="1" applyFont="1" applyFill="1" applyBorder="1" applyAlignment="1">
      <alignment horizontal="center" vertical="center" wrapText="1"/>
    </xf>
    <xf numFmtId="179" fontId="33" fillId="0" borderId="6" xfId="1" applyNumberFormat="1" applyFont="1" applyFill="1" applyBorder="1" applyAlignment="1">
      <alignment horizontal="center" vertical="center" wrapText="1"/>
    </xf>
    <xf numFmtId="179" fontId="19" fillId="0" borderId="0" xfId="1" applyNumberFormat="1" applyFont="1" applyFill="1">
      <alignment vertical="center"/>
    </xf>
    <xf numFmtId="179" fontId="30" fillId="2" borderId="1" xfId="1" applyNumberFormat="1" applyFont="1" applyFill="1" applyBorder="1" applyAlignment="1" applyProtection="1">
      <alignment horizontal="left" vertical="center"/>
    </xf>
    <xf numFmtId="179" fontId="19" fillId="0" borderId="1" xfId="1" applyNumberFormat="1" applyFont="1" applyBorder="1" applyAlignment="1">
      <alignment horizontal="center" vertical="center"/>
    </xf>
    <xf numFmtId="179" fontId="19" fillId="0" borderId="1" xfId="1" applyNumberFormat="1" applyFont="1" applyFill="1" applyBorder="1" applyAlignment="1">
      <alignment horizontal="center" vertical="center"/>
    </xf>
    <xf numFmtId="179" fontId="19" fillId="2" borderId="1" xfId="1" applyNumberFormat="1" applyFont="1" applyFill="1" applyBorder="1" applyAlignment="1" applyProtection="1">
      <alignment horizontal="left" vertical="center" indent="2"/>
    </xf>
    <xf numFmtId="179" fontId="31" fillId="2" borderId="1" xfId="1" applyNumberFormat="1" applyFont="1" applyFill="1" applyBorder="1" applyAlignment="1">
      <alignment horizontal="left" vertical="center"/>
    </xf>
    <xf numFmtId="179" fontId="32" fillId="2" borderId="1" xfId="1" applyNumberFormat="1" applyFont="1" applyFill="1" applyBorder="1" applyAlignment="1">
      <alignment horizontal="left" vertical="center"/>
    </xf>
    <xf numFmtId="179" fontId="19" fillId="0" borderId="6" xfId="1" applyNumberFormat="1" applyFont="1" applyFill="1" applyBorder="1" applyAlignment="1">
      <alignment horizontal="center" vertical="center"/>
    </xf>
    <xf numFmtId="179" fontId="19" fillId="0" borderId="1" xfId="1" applyNumberFormat="1" applyFont="1" applyFill="1" applyBorder="1" applyAlignment="1">
      <alignment horizontal="center" vertical="center"/>
    </xf>
    <xf numFmtId="179" fontId="19" fillId="0" borderId="6" xfId="1" applyNumberFormat="1" applyFont="1" applyFill="1" applyBorder="1" applyAlignment="1">
      <alignment horizontal="center" vertical="center"/>
    </xf>
    <xf numFmtId="179" fontId="19" fillId="0" borderId="8" xfId="1" applyNumberFormat="1" applyFont="1" applyFill="1" applyBorder="1" applyAlignment="1">
      <alignment horizontal="center" vertical="center"/>
    </xf>
    <xf numFmtId="179" fontId="19" fillId="0" borderId="7" xfId="1" applyNumberFormat="1" applyFont="1" applyFill="1" applyBorder="1" applyAlignment="1">
      <alignment horizontal="center" vertical="center"/>
    </xf>
    <xf numFmtId="179" fontId="19" fillId="0" borderId="1" xfId="2" applyNumberFormat="1" applyFont="1" applyFill="1" applyBorder="1" applyAlignment="1" applyProtection="1">
      <alignment horizontal="left" vertical="center" indent="2"/>
    </xf>
    <xf numFmtId="179" fontId="19" fillId="0" borderId="7" xfId="1" applyNumberFormat="1" applyFont="1" applyFill="1" applyBorder="1" applyAlignment="1">
      <alignment horizontal="center" vertical="center"/>
    </xf>
    <xf numFmtId="179" fontId="19" fillId="2" borderId="1" xfId="1" applyNumberFormat="1" applyFont="1" applyFill="1" applyBorder="1">
      <alignment vertical="center"/>
    </xf>
    <xf numFmtId="179" fontId="19" fillId="0" borderId="1" xfId="1" applyNumberFormat="1" applyFont="1" applyBorder="1">
      <alignment vertical="center"/>
    </xf>
    <xf numFmtId="0" fontId="33" fillId="0" borderId="1" xfId="2" applyFont="1" applyFill="1" applyBorder="1" applyAlignment="1">
      <alignment horizontal="center" vertical="center"/>
    </xf>
    <xf numFmtId="43" fontId="33" fillId="0" borderId="1" xfId="3" applyNumberFormat="1" applyFont="1" applyFill="1" applyBorder="1" applyAlignment="1">
      <alignment horizontal="center" vertical="center"/>
    </xf>
    <xf numFmtId="43" fontId="15" fillId="0" borderId="1" xfId="3" applyNumberFormat="1" applyFont="1" applyFill="1" applyBorder="1" applyAlignment="1">
      <alignment horizontal="center" vertical="center"/>
    </xf>
    <xf numFmtId="43" fontId="29" fillId="0" borderId="1" xfId="3" applyNumberFormat="1" applyFont="1" applyFill="1" applyBorder="1" applyAlignment="1">
      <alignment horizontal="center" vertical="center"/>
    </xf>
    <xf numFmtId="0" fontId="34" fillId="0" borderId="1" xfId="0" applyFont="1" applyBorder="1" applyAlignment="1">
      <alignment horizontal="center" vertical="center"/>
    </xf>
    <xf numFmtId="0" fontId="19" fillId="0" borderId="1" xfId="2" applyFont="1" applyFill="1" applyBorder="1" applyAlignment="1">
      <alignment horizontal="left" vertical="center"/>
    </xf>
    <xf numFmtId="176" fontId="19" fillId="0" borderId="1" xfId="2" applyNumberFormat="1" applyFont="1" applyFill="1" applyBorder="1" applyAlignment="1">
      <alignment horizontal="center" vertical="center"/>
    </xf>
    <xf numFmtId="0" fontId="19" fillId="0" borderId="1" xfId="2" applyFont="1" applyBorder="1">
      <alignment vertical="center"/>
    </xf>
    <xf numFmtId="0" fontId="19" fillId="0" borderId="1" xfId="2" applyFont="1" applyFill="1" applyBorder="1" applyAlignment="1">
      <alignment vertical="center"/>
    </xf>
    <xf numFmtId="0" fontId="35" fillId="0" borderId="1" xfId="0" applyFont="1" applyBorder="1">
      <alignment vertical="center"/>
    </xf>
    <xf numFmtId="9" fontId="19" fillId="0" borderId="1" xfId="2" applyNumberFormat="1" applyFont="1" applyFill="1" applyBorder="1" applyAlignment="1">
      <alignment vertical="center"/>
    </xf>
    <xf numFmtId="0" fontId="30" fillId="0" borderId="1" xfId="2" applyFont="1" applyFill="1" applyBorder="1" applyAlignment="1">
      <alignment horizontal="left" vertical="center"/>
    </xf>
    <xf numFmtId="10" fontId="19" fillId="0" borderId="1" xfId="2" applyNumberFormat="1" applyFont="1" applyFill="1" applyBorder="1" applyAlignment="1">
      <alignment vertical="center"/>
    </xf>
    <xf numFmtId="0" fontId="35" fillId="0" borderId="0" xfId="0" applyFont="1">
      <alignment vertical="center"/>
    </xf>
    <xf numFmtId="176" fontId="35" fillId="0" borderId="1" xfId="0" applyNumberFormat="1" applyFont="1" applyBorder="1" applyAlignment="1">
      <alignment horizontal="center" vertical="center"/>
    </xf>
    <xf numFmtId="0" fontId="36" fillId="0" borderId="0" xfId="2"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I10" sqref="I10"/>
    </sheetView>
  </sheetViews>
  <sheetFormatPr defaultColWidth="9" defaultRowHeight="14.4"/>
  <cols>
    <col min="1" max="1" width="27.109375" customWidth="1"/>
    <col min="2" max="2" width="37" customWidth="1"/>
  </cols>
  <sheetData>
    <row r="1" spans="1:2" ht="36" customHeight="1">
      <c r="A1" s="90" t="s">
        <v>0</v>
      </c>
      <c r="B1" s="90"/>
    </row>
    <row r="2" spans="1:2" ht="20.399999999999999">
      <c r="A2" s="91" t="s">
        <v>1</v>
      </c>
      <c r="B2" s="91"/>
    </row>
    <row r="3" spans="1:2" ht="21.6">
      <c r="A3" s="79" t="s">
        <v>2</v>
      </c>
      <c r="B3" s="80" t="s">
        <v>157</v>
      </c>
    </row>
    <row r="4" spans="1:2" ht="20.399999999999999">
      <c r="A4" s="79" t="s">
        <v>3</v>
      </c>
      <c r="B4" s="80" t="s">
        <v>158</v>
      </c>
    </row>
    <row r="5" spans="1:2" ht="20.399999999999999">
      <c r="A5" s="79" t="s">
        <v>4</v>
      </c>
      <c r="B5" s="80" t="s">
        <v>159</v>
      </c>
    </row>
    <row r="6" spans="1:2" ht="21.6">
      <c r="A6" s="79" t="s">
        <v>5</v>
      </c>
      <c r="B6" s="80" t="s">
        <v>159</v>
      </c>
    </row>
    <row r="7" spans="1:2" ht="20.399999999999999">
      <c r="A7" s="79" t="s">
        <v>6</v>
      </c>
      <c r="B7" s="80" t="s">
        <v>160</v>
      </c>
    </row>
    <row r="8" spans="1:2" ht="20.399999999999999">
      <c r="A8" s="79" t="s">
        <v>7</v>
      </c>
      <c r="B8" s="81">
        <v>426165</v>
      </c>
    </row>
    <row r="9" spans="1:2" ht="42" customHeight="1">
      <c r="A9" s="79" t="s">
        <v>8</v>
      </c>
      <c r="B9" s="81">
        <v>13807435026</v>
      </c>
    </row>
    <row r="10" spans="1:2" ht="45.75" customHeight="1">
      <c r="A10" s="79" t="s">
        <v>9</v>
      </c>
      <c r="B10" s="82">
        <v>44757</v>
      </c>
    </row>
  </sheetData>
  <mergeCells count="2">
    <mergeCell ref="A1:B1"/>
    <mergeCell ref="A2:B2"/>
  </mergeCells>
  <phoneticPr fontId="27"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tabSelected="1" workbookViewId="0">
      <selection activeCell="C8" sqref="C8"/>
    </sheetView>
  </sheetViews>
  <sheetFormatPr defaultColWidth="9" defaultRowHeight="14.4"/>
  <cols>
    <col min="1" max="1" width="83.6640625" customWidth="1"/>
  </cols>
  <sheetData>
    <row r="1" spans="1:1" ht="74.25" customHeight="1">
      <c r="A1" s="1" t="s">
        <v>150</v>
      </c>
    </row>
    <row r="2" spans="1:1" ht="58.8">
      <c r="A2" s="2" t="s">
        <v>151</v>
      </c>
    </row>
    <row r="3" spans="1:1" ht="19.2">
      <c r="A3" s="2" t="s">
        <v>152</v>
      </c>
    </row>
    <row r="4" spans="1:1" ht="38.4">
      <c r="A4" s="2" t="s">
        <v>153</v>
      </c>
    </row>
    <row r="5" spans="1:1" ht="19.8">
      <c r="A5" s="3"/>
    </row>
    <row r="9" spans="1:1" ht="19.2">
      <c r="A9" s="4"/>
    </row>
    <row r="10" spans="1:1" ht="19.2">
      <c r="A10" s="4"/>
    </row>
    <row r="11" spans="1:1" ht="36.75" customHeight="1">
      <c r="A11" s="4" t="s">
        <v>154</v>
      </c>
    </row>
    <row r="12" spans="1:1" ht="32.25" customHeight="1">
      <c r="A12" s="2" t="s">
        <v>155</v>
      </c>
    </row>
    <row r="13" spans="1:1" ht="55.5" customHeight="1">
      <c r="A13" s="5" t="s">
        <v>156</v>
      </c>
    </row>
  </sheetData>
  <phoneticPr fontId="27"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5"/>
  <sheetViews>
    <sheetView workbookViewId="0">
      <selection activeCell="A18" sqref="A18"/>
    </sheetView>
  </sheetViews>
  <sheetFormatPr defaultColWidth="9" defaultRowHeight="14.4"/>
  <cols>
    <col min="1" max="1" width="28.33203125" customWidth="1"/>
    <col min="2" max="2" width="15.77734375" customWidth="1"/>
    <col min="3" max="3" width="16.77734375" customWidth="1"/>
    <col min="4" max="4" width="17" customWidth="1"/>
    <col min="5" max="5" width="11.109375" customWidth="1"/>
  </cols>
  <sheetData>
    <row r="1" spans="1:5" ht="21">
      <c r="A1" s="57" t="s">
        <v>10</v>
      </c>
      <c r="B1" s="43"/>
      <c r="C1" s="43"/>
    </row>
    <row r="2" spans="1:5" ht="24">
      <c r="A2" s="116" t="s">
        <v>170</v>
      </c>
      <c r="B2" s="116"/>
      <c r="C2" s="116"/>
      <c r="D2" s="116"/>
      <c r="E2" s="116"/>
    </row>
    <row r="3" spans="1:5" ht="15.6">
      <c r="A3" s="92" t="s">
        <v>11</v>
      </c>
      <c r="B3" s="93"/>
      <c r="C3" s="93"/>
    </row>
    <row r="4" spans="1:5" ht="19.5" customHeight="1">
      <c r="A4" s="58" t="s">
        <v>12</v>
      </c>
      <c r="B4" s="59" t="s">
        <v>161</v>
      </c>
      <c r="C4" s="60" t="s">
        <v>162</v>
      </c>
      <c r="D4" s="60" t="s">
        <v>163</v>
      </c>
      <c r="E4" s="60" t="s">
        <v>13</v>
      </c>
    </row>
    <row r="5" spans="1:5" ht="19.5" customHeight="1">
      <c r="A5" s="61" t="s">
        <v>14</v>
      </c>
      <c r="B5" s="58"/>
      <c r="C5" s="62"/>
      <c r="D5" s="62"/>
      <c r="E5" s="94" t="s">
        <v>15</v>
      </c>
    </row>
    <row r="6" spans="1:5" ht="19.5" customHeight="1">
      <c r="A6" s="63" t="s">
        <v>16</v>
      </c>
      <c r="B6" s="64">
        <v>10</v>
      </c>
      <c r="C6" s="62">
        <v>22</v>
      </c>
      <c r="D6" s="62">
        <v>24</v>
      </c>
      <c r="E6" s="95"/>
    </row>
    <row r="7" spans="1:5" ht="19.5" customHeight="1">
      <c r="A7" s="63" t="s">
        <v>17</v>
      </c>
      <c r="B7" s="64"/>
      <c r="C7" s="62">
        <v>4</v>
      </c>
      <c r="D7" s="62"/>
      <c r="E7" s="95"/>
    </row>
    <row r="8" spans="1:5" ht="19.5" customHeight="1">
      <c r="A8" s="65" t="s">
        <v>18</v>
      </c>
      <c r="B8" s="66"/>
      <c r="C8" s="62"/>
      <c r="D8" s="62"/>
      <c r="E8" s="95"/>
    </row>
    <row r="9" spans="1:5" ht="19.5" customHeight="1">
      <c r="A9" s="61" t="s">
        <v>19</v>
      </c>
      <c r="B9" s="58"/>
      <c r="C9" s="67"/>
      <c r="D9" s="67"/>
      <c r="E9" s="95"/>
    </row>
    <row r="10" spans="1:5" ht="19.5" customHeight="1">
      <c r="A10" s="63" t="s">
        <v>16</v>
      </c>
      <c r="B10" s="64">
        <v>268</v>
      </c>
      <c r="C10" s="67">
        <v>680</v>
      </c>
      <c r="D10" s="67">
        <v>943</v>
      </c>
      <c r="E10" s="95"/>
    </row>
    <row r="11" spans="1:5" ht="19.5" customHeight="1">
      <c r="A11" s="63" t="s">
        <v>17</v>
      </c>
      <c r="B11" s="64"/>
      <c r="C11" s="67"/>
      <c r="D11" s="67"/>
      <c r="E11" s="95"/>
    </row>
    <row r="12" spans="1:5" ht="19.5" customHeight="1">
      <c r="A12" s="65" t="s">
        <v>20</v>
      </c>
      <c r="B12" s="66"/>
      <c r="C12" s="67"/>
      <c r="D12" s="67"/>
      <c r="E12" s="95"/>
    </row>
    <row r="13" spans="1:5" ht="27.6" customHeight="1">
      <c r="A13" s="68" t="s">
        <v>21</v>
      </c>
      <c r="B13" s="60">
        <v>365</v>
      </c>
      <c r="C13" s="67">
        <v>890</v>
      </c>
      <c r="D13" s="67">
        <v>980</v>
      </c>
      <c r="E13" s="96"/>
    </row>
    <row r="14" spans="1:5" ht="19.5" customHeight="1">
      <c r="A14" s="69" t="s">
        <v>22</v>
      </c>
      <c r="B14" s="16">
        <v>41</v>
      </c>
      <c r="C14" s="62">
        <v>51</v>
      </c>
      <c r="D14" s="62">
        <v>55</v>
      </c>
      <c r="E14" s="97" t="s">
        <v>23</v>
      </c>
    </row>
    <row r="15" spans="1:5" ht="19.5" customHeight="1">
      <c r="A15" s="70" t="s">
        <v>24</v>
      </c>
      <c r="B15" s="71"/>
      <c r="C15" s="62"/>
      <c r="D15" s="62"/>
      <c r="E15" s="97"/>
    </row>
    <row r="16" spans="1:5" ht="19.5" customHeight="1">
      <c r="A16" s="22" t="s">
        <v>25</v>
      </c>
      <c r="B16" s="71">
        <v>19</v>
      </c>
      <c r="C16" s="62"/>
      <c r="D16" s="62"/>
      <c r="E16" s="97"/>
    </row>
    <row r="17" spans="1:5" ht="19.5" customHeight="1">
      <c r="A17" s="72" t="s">
        <v>26</v>
      </c>
      <c r="B17" s="73">
        <v>19</v>
      </c>
      <c r="C17" s="62">
        <v>25</v>
      </c>
      <c r="D17" s="62">
        <v>27</v>
      </c>
      <c r="E17" s="97"/>
    </row>
    <row r="18" spans="1:5" ht="19.5" customHeight="1">
      <c r="A18" s="72" t="s">
        <v>27</v>
      </c>
      <c r="B18" s="73"/>
      <c r="C18" s="62"/>
      <c r="D18" s="62"/>
      <c r="E18" s="97"/>
    </row>
    <row r="19" spans="1:5" ht="19.5" customHeight="1">
      <c r="A19" s="72" t="s">
        <v>28</v>
      </c>
      <c r="B19" s="73"/>
      <c r="C19" s="62"/>
      <c r="D19" s="62"/>
      <c r="E19" s="97"/>
    </row>
    <row r="20" spans="1:5" ht="19.5" customHeight="1">
      <c r="A20" s="74" t="s">
        <v>29</v>
      </c>
      <c r="B20" s="75"/>
      <c r="C20" s="62"/>
      <c r="D20" s="62"/>
      <c r="E20" s="97"/>
    </row>
    <row r="21" spans="1:5" ht="19.5" customHeight="1">
      <c r="A21" s="22" t="s">
        <v>30</v>
      </c>
      <c r="B21" s="71">
        <v>9</v>
      </c>
      <c r="C21" s="62">
        <v>11</v>
      </c>
      <c r="D21" s="62">
        <v>12</v>
      </c>
      <c r="E21" s="97"/>
    </row>
    <row r="22" spans="1:5" ht="19.5" customHeight="1">
      <c r="A22" s="22" t="s">
        <v>31</v>
      </c>
      <c r="B22" s="71">
        <v>4</v>
      </c>
      <c r="C22" s="62">
        <v>4</v>
      </c>
      <c r="D22" s="62">
        <v>4</v>
      </c>
      <c r="E22" s="97"/>
    </row>
    <row r="23" spans="1:5" ht="19.5" customHeight="1">
      <c r="A23" s="22" t="s">
        <v>32</v>
      </c>
      <c r="B23" s="71">
        <v>9</v>
      </c>
      <c r="C23" s="62">
        <v>11</v>
      </c>
      <c r="D23" s="62">
        <v>12</v>
      </c>
      <c r="E23" s="97"/>
    </row>
    <row r="24" spans="1:5" ht="19.5" customHeight="1">
      <c r="A24" s="18" t="s">
        <v>33</v>
      </c>
      <c r="B24" s="62"/>
      <c r="C24" s="62"/>
      <c r="D24" s="62"/>
      <c r="E24" s="97"/>
    </row>
    <row r="25" spans="1:5" ht="19.5" customHeight="1">
      <c r="A25" s="18" t="s">
        <v>34</v>
      </c>
      <c r="B25" s="62"/>
      <c r="C25" s="62"/>
      <c r="D25" s="62"/>
      <c r="E25" s="97"/>
    </row>
    <row r="26" spans="1:5" ht="19.5" customHeight="1">
      <c r="A26" s="18" t="s">
        <v>35</v>
      </c>
      <c r="B26" s="62"/>
      <c r="C26" s="62"/>
      <c r="D26" s="62"/>
      <c r="E26" s="97"/>
    </row>
    <row r="27" spans="1:5" ht="19.5" customHeight="1">
      <c r="A27" s="18" t="s">
        <v>36</v>
      </c>
      <c r="B27" s="62"/>
      <c r="C27" s="62"/>
      <c r="D27" s="62"/>
      <c r="E27" s="97"/>
    </row>
    <row r="28" spans="1:5" ht="19.5" customHeight="1">
      <c r="A28" s="18" t="s">
        <v>37</v>
      </c>
      <c r="B28" s="62"/>
      <c r="C28" s="62"/>
      <c r="D28" s="62"/>
      <c r="E28" s="97"/>
    </row>
    <row r="29" spans="1:5" ht="37.799999999999997" customHeight="1">
      <c r="A29" s="9" t="s">
        <v>38</v>
      </c>
      <c r="B29" s="76">
        <v>17366202</v>
      </c>
      <c r="C29" s="62">
        <v>17632312</v>
      </c>
      <c r="D29" s="62"/>
      <c r="E29" s="97"/>
    </row>
    <row r="30" spans="1:5" ht="20.25" customHeight="1">
      <c r="A30" s="70" t="s">
        <v>39</v>
      </c>
      <c r="B30" s="71">
        <v>13689046</v>
      </c>
      <c r="C30" s="71">
        <v>13689046</v>
      </c>
      <c r="D30" s="71">
        <v>13689046</v>
      </c>
      <c r="E30" s="18"/>
    </row>
    <row r="31" spans="1:5" ht="19.5" customHeight="1">
      <c r="A31" s="70" t="s">
        <v>40</v>
      </c>
      <c r="B31" s="71">
        <v>1618061</v>
      </c>
      <c r="C31" s="62">
        <v>1771551</v>
      </c>
      <c r="D31" s="62">
        <v>1801061</v>
      </c>
      <c r="E31" s="18"/>
    </row>
    <row r="32" spans="1:5" ht="19.5" customHeight="1">
      <c r="A32" s="70" t="s">
        <v>41</v>
      </c>
      <c r="B32" s="71">
        <v>1053085</v>
      </c>
      <c r="C32" s="62">
        <v>1103085</v>
      </c>
      <c r="D32" s="62">
        <v>1184585</v>
      </c>
      <c r="E32" s="18"/>
    </row>
    <row r="33" spans="1:5" ht="19.5" customHeight="1">
      <c r="A33" s="70" t="s">
        <v>42</v>
      </c>
      <c r="B33" s="71">
        <v>678710</v>
      </c>
      <c r="C33" s="62">
        <v>741330</v>
      </c>
      <c r="D33" s="62">
        <v>741330</v>
      </c>
      <c r="E33" s="18"/>
    </row>
    <row r="34" spans="1:5" ht="19.5" customHeight="1">
      <c r="A34" s="77" t="s">
        <v>43</v>
      </c>
      <c r="B34" s="78" t="s">
        <v>164</v>
      </c>
      <c r="C34" s="62">
        <v>327300</v>
      </c>
      <c r="D34" s="62">
        <v>327300</v>
      </c>
      <c r="E34" s="18"/>
    </row>
    <row r="35" spans="1:5" ht="19.5" customHeight="1">
      <c r="E35" s="83"/>
    </row>
  </sheetData>
  <mergeCells count="4">
    <mergeCell ref="A2:E2"/>
    <mergeCell ref="A3:C3"/>
    <mergeCell ref="E5:E13"/>
    <mergeCell ref="E14:E29"/>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workbookViewId="0">
      <selection activeCell="C8" sqref="C8"/>
    </sheetView>
  </sheetViews>
  <sheetFormatPr defaultColWidth="9" defaultRowHeight="14.4"/>
  <cols>
    <col min="1" max="1" width="27.33203125" customWidth="1"/>
    <col min="2" max="4" width="18.88671875" customWidth="1"/>
  </cols>
  <sheetData>
    <row r="1" spans="1:4" ht="21.6">
      <c r="A1" s="42" t="s">
        <v>44</v>
      </c>
      <c r="B1" s="43"/>
    </row>
    <row r="2" spans="1:4" ht="24">
      <c r="A2" s="117" t="s">
        <v>171</v>
      </c>
      <c r="B2" s="117"/>
      <c r="C2" s="117"/>
      <c r="D2" s="117"/>
    </row>
    <row r="3" spans="1:4">
      <c r="A3" s="44" t="s">
        <v>45</v>
      </c>
      <c r="B3" s="45"/>
    </row>
    <row r="4" spans="1:4" ht="36" customHeight="1">
      <c r="A4" s="46" t="s">
        <v>46</v>
      </c>
      <c r="B4" s="46" t="s">
        <v>165</v>
      </c>
      <c r="C4" s="46" t="s">
        <v>166</v>
      </c>
      <c r="D4" s="46" t="s">
        <v>167</v>
      </c>
    </row>
    <row r="5" spans="1:4" ht="22.5" customHeight="1">
      <c r="A5" s="47" t="s">
        <v>47</v>
      </c>
      <c r="B5" s="48"/>
      <c r="C5" s="48">
        <v>279800</v>
      </c>
      <c r="D5" s="48">
        <v>319400</v>
      </c>
    </row>
    <row r="6" spans="1:4" ht="22.5" customHeight="1">
      <c r="A6" s="49" t="s">
        <v>48</v>
      </c>
      <c r="B6" s="48"/>
      <c r="C6" s="48"/>
      <c r="D6" s="48"/>
    </row>
    <row r="7" spans="1:4" ht="22.5" customHeight="1">
      <c r="A7" s="49" t="s">
        <v>49</v>
      </c>
      <c r="B7" s="48"/>
      <c r="C7" s="48"/>
      <c r="D7" s="48"/>
    </row>
    <row r="8" spans="1:4" ht="22.5" customHeight="1">
      <c r="A8" s="49" t="s">
        <v>50</v>
      </c>
      <c r="B8" s="48"/>
      <c r="C8" s="48"/>
      <c r="D8" s="48"/>
    </row>
    <row r="9" spans="1:4" ht="22.5" customHeight="1">
      <c r="A9" s="49" t="s">
        <v>51</v>
      </c>
      <c r="B9" s="48"/>
      <c r="C9" s="48"/>
      <c r="D9" s="48"/>
    </row>
    <row r="10" spans="1:4" ht="37.799999999999997" customHeight="1">
      <c r="A10" s="47" t="s">
        <v>52</v>
      </c>
      <c r="B10" s="48"/>
      <c r="C10" s="48"/>
      <c r="D10" s="48"/>
    </row>
    <row r="11" spans="1:4" ht="25.8" customHeight="1">
      <c r="A11" s="47" t="s">
        <v>53</v>
      </c>
      <c r="B11" s="48">
        <v>1852400</v>
      </c>
      <c r="C11" s="48">
        <v>4226025</v>
      </c>
      <c r="D11" s="48">
        <v>6567709</v>
      </c>
    </row>
    <row r="12" spans="1:4" ht="22.5" customHeight="1">
      <c r="A12" s="49" t="s">
        <v>54</v>
      </c>
      <c r="B12" s="48">
        <f>B13</f>
        <v>1152400</v>
      </c>
      <c r="C12" s="48">
        <f>C13</f>
        <v>2924000</v>
      </c>
      <c r="D12" s="48">
        <f>D13</f>
        <v>4054900</v>
      </c>
    </row>
    <row r="13" spans="1:4" ht="22.5" customHeight="1">
      <c r="A13" s="49" t="s">
        <v>55</v>
      </c>
      <c r="B13" s="48">
        <v>1152400</v>
      </c>
      <c r="C13" s="48">
        <v>2924000</v>
      </c>
      <c r="D13" s="84">
        <v>4054900</v>
      </c>
    </row>
    <row r="14" spans="1:4" ht="22.5" customHeight="1">
      <c r="A14" s="49" t="s">
        <v>56</v>
      </c>
      <c r="B14" s="50">
        <f>B18+B13</f>
        <v>1313200</v>
      </c>
      <c r="C14" s="50">
        <f t="shared" ref="C14:D14" si="0">C18+C13</f>
        <v>3324040</v>
      </c>
      <c r="D14" s="50">
        <f t="shared" si="0"/>
        <v>4697300</v>
      </c>
    </row>
    <row r="15" spans="1:4" ht="22.5" customHeight="1">
      <c r="A15" s="49" t="s">
        <v>57</v>
      </c>
      <c r="B15" s="50">
        <f>B13/B14</f>
        <v>0.87755102040816324</v>
      </c>
      <c r="C15" s="50">
        <f t="shared" ref="C15:D15" si="1">C13/C14</f>
        <v>0.87965247108939726</v>
      </c>
      <c r="D15" s="50">
        <f t="shared" si="1"/>
        <v>0.86324058501692458</v>
      </c>
    </row>
    <row r="16" spans="1:4" ht="22.5" customHeight="1">
      <c r="A16" s="49" t="s">
        <v>58</v>
      </c>
      <c r="B16" s="48"/>
      <c r="C16" s="48"/>
      <c r="D16" s="84"/>
    </row>
    <row r="17" spans="1:4" ht="22.5" customHeight="1">
      <c r="A17" s="49" t="s">
        <v>59</v>
      </c>
      <c r="B17" s="48"/>
      <c r="C17" s="48"/>
      <c r="D17" s="84"/>
    </row>
    <row r="18" spans="1:4" ht="22.5" customHeight="1">
      <c r="A18" s="51" t="s">
        <v>60</v>
      </c>
      <c r="B18" s="48">
        <v>160800</v>
      </c>
      <c r="C18" s="48">
        <v>400040</v>
      </c>
      <c r="D18" s="84">
        <v>642400</v>
      </c>
    </row>
    <row r="19" spans="1:4" ht="22.5" customHeight="1">
      <c r="A19" s="49" t="s">
        <v>61</v>
      </c>
      <c r="B19" s="48">
        <v>539200</v>
      </c>
      <c r="C19" s="48">
        <v>1249100</v>
      </c>
      <c r="D19" s="48">
        <v>1854100</v>
      </c>
    </row>
    <row r="20" spans="1:4" ht="22.5" customHeight="1">
      <c r="A20" s="52" t="s">
        <v>62</v>
      </c>
      <c r="B20" s="53"/>
      <c r="C20" s="53">
        <v>12855</v>
      </c>
      <c r="D20" s="53">
        <v>16309</v>
      </c>
    </row>
    <row r="21" spans="1:4" ht="22.5" customHeight="1">
      <c r="A21" s="53" t="s">
        <v>63</v>
      </c>
      <c r="B21" s="53"/>
      <c r="C21" s="53"/>
      <c r="D21" s="53"/>
    </row>
    <row r="22" spans="1:4" ht="22.5" customHeight="1">
      <c r="A22" s="54" t="s">
        <v>64</v>
      </c>
      <c r="B22" s="54"/>
      <c r="C22" s="54"/>
      <c r="D22" s="54"/>
    </row>
    <row r="23" spans="1:4" ht="22.5" customHeight="1">
      <c r="A23" s="54" t="s">
        <v>65</v>
      </c>
      <c r="B23" s="55"/>
      <c r="C23" s="55"/>
      <c r="D23" s="55"/>
    </row>
    <row r="24" spans="1:4" ht="22.5" customHeight="1">
      <c r="A24" s="54" t="s">
        <v>66</v>
      </c>
      <c r="B24" s="55"/>
      <c r="C24" s="55"/>
      <c r="D24" s="55"/>
    </row>
    <row r="25" spans="1:4" ht="22.5" customHeight="1">
      <c r="A25" s="56" t="s">
        <v>67</v>
      </c>
      <c r="B25" s="55"/>
      <c r="C25" s="55"/>
      <c r="D25" s="55"/>
    </row>
    <row r="26" spans="1:4" ht="22.5" customHeight="1">
      <c r="A26" s="56" t="s">
        <v>68</v>
      </c>
      <c r="B26" s="55"/>
      <c r="C26" s="55"/>
      <c r="D26" s="55"/>
    </row>
  </sheetData>
  <mergeCells count="1">
    <mergeCell ref="A2:D2"/>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topLeftCell="A34" workbookViewId="0">
      <selection activeCell="J35" sqref="J35"/>
    </sheetView>
  </sheetViews>
  <sheetFormatPr defaultColWidth="9" defaultRowHeight="14.4"/>
  <cols>
    <col min="1" max="1" width="28.88671875" customWidth="1"/>
    <col min="2" max="2" width="11.77734375" customWidth="1"/>
    <col min="3" max="3" width="11.6640625" customWidth="1"/>
    <col min="4" max="4" width="11.77734375" customWidth="1"/>
    <col min="5" max="5" width="12.88671875" customWidth="1"/>
    <col min="6" max="6" width="12.33203125" customWidth="1"/>
    <col min="7" max="7" width="12" customWidth="1"/>
    <col min="8" max="8" width="11.88671875" customWidth="1"/>
    <col min="9" max="9" width="12.6640625" customWidth="1"/>
    <col min="10" max="10" width="12" customWidth="1"/>
  </cols>
  <sheetData>
    <row r="1" spans="1:10" ht="21">
      <c r="A1" s="40" t="s">
        <v>69</v>
      </c>
      <c r="B1" s="25"/>
      <c r="C1" s="25"/>
      <c r="D1" s="25"/>
    </row>
    <row r="2" spans="1:10" ht="24">
      <c r="A2" s="106" t="s">
        <v>180</v>
      </c>
      <c r="B2" s="106"/>
      <c r="C2" s="106"/>
      <c r="D2" s="106"/>
      <c r="E2" s="106"/>
      <c r="F2" s="106"/>
      <c r="G2" s="106"/>
      <c r="H2" s="106"/>
      <c r="I2" s="106"/>
      <c r="J2" s="106"/>
    </row>
    <row r="3" spans="1:10" ht="15.6">
      <c r="A3" s="41"/>
      <c r="B3" s="41"/>
      <c r="C3" s="41"/>
      <c r="D3" s="41"/>
      <c r="J3" t="s">
        <v>70</v>
      </c>
    </row>
    <row r="4" spans="1:10" ht="28.8" customHeight="1">
      <c r="A4" s="115" t="s">
        <v>181</v>
      </c>
      <c r="B4" s="115" t="s">
        <v>182</v>
      </c>
      <c r="C4" s="115" t="s">
        <v>183</v>
      </c>
      <c r="D4" s="115" t="s">
        <v>184</v>
      </c>
      <c r="E4" s="115" t="s">
        <v>185</v>
      </c>
      <c r="F4" s="115" t="s">
        <v>183</v>
      </c>
      <c r="G4" s="115" t="s">
        <v>186</v>
      </c>
      <c r="H4" s="115" t="s">
        <v>187</v>
      </c>
      <c r="I4" s="115" t="s">
        <v>183</v>
      </c>
      <c r="J4" s="115" t="s">
        <v>188</v>
      </c>
    </row>
    <row r="5" spans="1:10">
      <c r="A5" s="107" t="s">
        <v>189</v>
      </c>
      <c r="B5" s="108">
        <v>808638</v>
      </c>
      <c r="C5" s="108">
        <f>D5-B5</f>
        <v>-200875</v>
      </c>
      <c r="D5" s="108">
        <f>(D6+D7+D8+D9+D10+D11)</f>
        <v>607763</v>
      </c>
      <c r="E5" s="108">
        <v>2041970</v>
      </c>
      <c r="F5" s="108">
        <f t="shared" ref="F5:F55" si="0">G5-E5</f>
        <v>85121</v>
      </c>
      <c r="G5" s="108">
        <f>(G6+G7+G8+G9+G10+G11)</f>
        <v>2127091</v>
      </c>
      <c r="H5" s="108">
        <v>2413736</v>
      </c>
      <c r="I5" s="108">
        <f t="shared" ref="I5:I55" si="1">J5-H5</f>
        <v>44803.450000000186</v>
      </c>
      <c r="J5" s="108">
        <f>(J6+J7+J8+J9+J10+J11)</f>
        <v>2458539.4500000002</v>
      </c>
    </row>
    <row r="6" spans="1:10">
      <c r="A6" s="109" t="s">
        <v>190</v>
      </c>
      <c r="B6" s="108">
        <v>795696</v>
      </c>
      <c r="C6" s="108">
        <f t="shared" ref="C6:C55" si="2">D6-B6</f>
        <v>-207456</v>
      </c>
      <c r="D6" s="108">
        <v>588240</v>
      </c>
      <c r="E6" s="108">
        <v>1858742</v>
      </c>
      <c r="F6" s="108">
        <f t="shared" si="0"/>
        <v>157258</v>
      </c>
      <c r="G6" s="108">
        <v>2016000</v>
      </c>
      <c r="H6" s="108">
        <v>2155754</v>
      </c>
      <c r="I6" s="108">
        <f t="shared" si="1"/>
        <v>0</v>
      </c>
      <c r="J6" s="108">
        <v>2155754</v>
      </c>
    </row>
    <row r="7" spans="1:10">
      <c r="A7" s="109" t="s">
        <v>191</v>
      </c>
      <c r="B7" s="108"/>
      <c r="C7" s="108">
        <f t="shared" si="2"/>
        <v>0</v>
      </c>
      <c r="D7" s="108"/>
      <c r="E7" s="108">
        <v>84897</v>
      </c>
      <c r="F7" s="108">
        <f t="shared" si="0"/>
        <v>-84897</v>
      </c>
      <c r="G7" s="108"/>
      <c r="H7" s="108">
        <v>75635</v>
      </c>
      <c r="I7" s="108">
        <f t="shared" si="1"/>
        <v>0</v>
      </c>
      <c r="J7" s="108">
        <v>75635</v>
      </c>
    </row>
    <row r="8" spans="1:10">
      <c r="A8" s="109" t="s">
        <v>192</v>
      </c>
      <c r="B8" s="108"/>
      <c r="C8" s="108">
        <f t="shared" si="2"/>
        <v>0</v>
      </c>
      <c r="D8" s="108"/>
      <c r="E8" s="108"/>
      <c r="F8" s="108">
        <f t="shared" si="0"/>
        <v>0</v>
      </c>
      <c r="G8" s="108"/>
      <c r="H8" s="108"/>
      <c r="I8" s="108">
        <f t="shared" si="1"/>
        <v>0</v>
      </c>
      <c r="J8" s="108"/>
    </row>
    <row r="9" spans="1:10">
      <c r="A9" s="109" t="s">
        <v>193</v>
      </c>
      <c r="B9" s="108">
        <v>4817</v>
      </c>
      <c r="C9" s="108">
        <f t="shared" si="2"/>
        <v>0</v>
      </c>
      <c r="D9" s="108">
        <v>4817</v>
      </c>
      <c r="E9" s="108">
        <v>10291</v>
      </c>
      <c r="F9" s="108">
        <f t="shared" si="0"/>
        <v>0</v>
      </c>
      <c r="G9" s="108">
        <v>10291</v>
      </c>
      <c r="H9" s="108">
        <v>112067</v>
      </c>
      <c r="I9" s="108">
        <f t="shared" si="1"/>
        <v>0</v>
      </c>
      <c r="J9" s="108">
        <v>112067</v>
      </c>
    </row>
    <row r="10" spans="1:10">
      <c r="A10" s="109" t="s">
        <v>194</v>
      </c>
      <c r="B10" s="108"/>
      <c r="C10" s="108">
        <f t="shared" si="2"/>
        <v>14706</v>
      </c>
      <c r="D10" s="108">
        <v>14706</v>
      </c>
      <c r="E10" s="108">
        <v>16600</v>
      </c>
      <c r="F10" s="108">
        <f t="shared" si="0"/>
        <v>84200</v>
      </c>
      <c r="G10" s="108">
        <v>100800</v>
      </c>
      <c r="H10" s="108"/>
      <c r="I10" s="108">
        <f t="shared" si="1"/>
        <v>115083.45</v>
      </c>
      <c r="J10" s="108">
        <v>115083.45</v>
      </c>
    </row>
    <row r="11" spans="1:10">
      <c r="A11" s="109" t="s">
        <v>195</v>
      </c>
      <c r="B11" s="108">
        <v>8125</v>
      </c>
      <c r="C11" s="108">
        <f t="shared" si="2"/>
        <v>-8125</v>
      </c>
      <c r="D11" s="108"/>
      <c r="E11" s="108">
        <v>71440</v>
      </c>
      <c r="F11" s="108">
        <f t="shared" si="0"/>
        <v>-71440</v>
      </c>
      <c r="G11" s="108"/>
      <c r="H11" s="108">
        <v>70280</v>
      </c>
      <c r="I11" s="108">
        <f t="shared" si="1"/>
        <v>-70280</v>
      </c>
      <c r="J11" s="108"/>
    </row>
    <row r="12" spans="1:10">
      <c r="A12" s="107" t="s">
        <v>196</v>
      </c>
      <c r="B12" s="108">
        <v>1189024</v>
      </c>
      <c r="C12" s="108">
        <f t="shared" si="2"/>
        <v>-846768.2</v>
      </c>
      <c r="D12" s="108">
        <f>SUM(D13:D36)</f>
        <v>342255.8</v>
      </c>
      <c r="E12" s="108">
        <v>1890435</v>
      </c>
      <c r="F12" s="108">
        <f t="shared" si="0"/>
        <v>-1179232.3</v>
      </c>
      <c r="G12" s="108">
        <f>SUM(G13:G36)</f>
        <v>711202.7</v>
      </c>
      <c r="H12" s="108">
        <v>2485067</v>
      </c>
      <c r="I12" s="108">
        <f t="shared" si="1"/>
        <v>-1405327.8900000001</v>
      </c>
      <c r="J12" s="108">
        <f>SUM(J13:J36)</f>
        <v>1079739.1099999999</v>
      </c>
    </row>
    <row r="13" spans="1:10">
      <c r="A13" s="110" t="s">
        <v>197</v>
      </c>
      <c r="B13" s="108">
        <v>22205</v>
      </c>
      <c r="C13" s="108">
        <f t="shared" si="2"/>
        <v>0</v>
      </c>
      <c r="D13" s="108">
        <v>22205</v>
      </c>
      <c r="E13" s="108">
        <v>47462</v>
      </c>
      <c r="F13" s="108">
        <f t="shared" si="0"/>
        <v>-20000</v>
      </c>
      <c r="G13" s="108">
        <f>17462+10000</f>
        <v>27462</v>
      </c>
      <c r="H13" s="108">
        <v>46492</v>
      </c>
      <c r="I13" s="108">
        <f t="shared" si="1"/>
        <v>-10000</v>
      </c>
      <c r="J13" s="108">
        <v>36492</v>
      </c>
    </row>
    <row r="14" spans="1:10">
      <c r="A14" s="110" t="s">
        <v>198</v>
      </c>
      <c r="B14" s="108">
        <v>55742</v>
      </c>
      <c r="C14" s="108">
        <f t="shared" si="2"/>
        <v>0</v>
      </c>
      <c r="D14" s="108">
        <v>55742</v>
      </c>
      <c r="E14" s="108">
        <v>112682</v>
      </c>
      <c r="F14" s="108">
        <f t="shared" si="0"/>
        <v>0</v>
      </c>
      <c r="G14" s="108">
        <v>112682</v>
      </c>
      <c r="H14" s="108">
        <v>126175</v>
      </c>
      <c r="I14" s="108">
        <f t="shared" si="1"/>
        <v>0</v>
      </c>
      <c r="J14" s="108">
        <v>126175</v>
      </c>
    </row>
    <row r="15" spans="1:10">
      <c r="A15" s="110" t="s">
        <v>233</v>
      </c>
      <c r="B15" s="108">
        <v>36886</v>
      </c>
      <c r="C15" s="108">
        <f t="shared" si="2"/>
        <v>-36886</v>
      </c>
      <c r="D15" s="108"/>
      <c r="E15" s="108">
        <v>36066</v>
      </c>
      <c r="F15" s="108">
        <f t="shared" si="0"/>
        <v>-36066</v>
      </c>
      <c r="G15" s="108"/>
      <c r="H15" s="108">
        <v>56400</v>
      </c>
      <c r="I15" s="108">
        <f t="shared" si="1"/>
        <v>-56400</v>
      </c>
      <c r="J15" s="108"/>
    </row>
    <row r="16" spans="1:10">
      <c r="A16" s="110" t="s">
        <v>234</v>
      </c>
      <c r="B16" s="108"/>
      <c r="C16" s="108">
        <f t="shared" si="2"/>
        <v>0</v>
      </c>
      <c r="D16" s="108"/>
      <c r="E16" s="108">
        <v>110000</v>
      </c>
      <c r="F16" s="108">
        <f t="shared" si="0"/>
        <v>-110000</v>
      </c>
      <c r="G16" s="108"/>
      <c r="H16" s="108">
        <v>480000</v>
      </c>
      <c r="I16" s="108">
        <f t="shared" si="1"/>
        <v>-480000</v>
      </c>
      <c r="J16" s="108"/>
    </row>
    <row r="17" spans="1:10">
      <c r="A17" s="110" t="s">
        <v>199</v>
      </c>
      <c r="B17" s="108"/>
      <c r="C17" s="108">
        <f t="shared" si="2"/>
        <v>0</v>
      </c>
      <c r="D17" s="108"/>
      <c r="E17" s="108"/>
      <c r="F17" s="108">
        <f t="shared" si="0"/>
        <v>0</v>
      </c>
      <c r="G17" s="108"/>
      <c r="H17" s="108"/>
      <c r="I17" s="108">
        <f t="shared" si="1"/>
        <v>0</v>
      </c>
      <c r="J17" s="108"/>
    </row>
    <row r="18" spans="1:10">
      <c r="A18" s="110" t="s">
        <v>200</v>
      </c>
      <c r="B18" s="108">
        <v>37200</v>
      </c>
      <c r="C18" s="108">
        <f t="shared" si="2"/>
        <v>0</v>
      </c>
      <c r="D18" s="108">
        <v>37200</v>
      </c>
      <c r="E18" s="108">
        <v>69000</v>
      </c>
      <c r="F18" s="108">
        <f t="shared" si="0"/>
        <v>0</v>
      </c>
      <c r="G18" s="108">
        <v>69000</v>
      </c>
      <c r="H18" s="108">
        <v>83000</v>
      </c>
      <c r="I18" s="108">
        <f t="shared" si="1"/>
        <v>0</v>
      </c>
      <c r="J18" s="108">
        <v>83000</v>
      </c>
    </row>
    <row r="19" spans="1:10">
      <c r="A19" s="110" t="s">
        <v>235</v>
      </c>
      <c r="B19" s="108"/>
      <c r="C19" s="108">
        <f t="shared" si="2"/>
        <v>0</v>
      </c>
      <c r="D19" s="108"/>
      <c r="E19" s="108">
        <v>7482</v>
      </c>
      <c r="F19" s="108">
        <f t="shared" si="0"/>
        <v>0</v>
      </c>
      <c r="G19" s="108">
        <v>7482</v>
      </c>
      <c r="H19" s="108">
        <v>6528</v>
      </c>
      <c r="I19" s="108">
        <f t="shared" si="1"/>
        <v>0</v>
      </c>
      <c r="J19" s="108">
        <v>6528</v>
      </c>
    </row>
    <row r="20" spans="1:10">
      <c r="A20" s="110" t="s">
        <v>201</v>
      </c>
      <c r="B20" s="108"/>
      <c r="C20" s="108">
        <f t="shared" si="2"/>
        <v>0</v>
      </c>
      <c r="D20" s="108"/>
      <c r="E20" s="108"/>
      <c r="F20" s="108">
        <f t="shared" si="0"/>
        <v>0</v>
      </c>
      <c r="G20" s="108"/>
      <c r="H20" s="108"/>
      <c r="I20" s="108">
        <f t="shared" si="1"/>
        <v>0</v>
      </c>
      <c r="J20" s="108"/>
    </row>
    <row r="21" spans="1:10">
      <c r="A21" s="110" t="s">
        <v>202</v>
      </c>
      <c r="B21" s="108"/>
      <c r="C21" s="108">
        <f t="shared" si="2"/>
        <v>0</v>
      </c>
      <c r="D21" s="108"/>
      <c r="E21" s="108">
        <v>4500</v>
      </c>
      <c r="F21" s="108">
        <f t="shared" si="0"/>
        <v>0</v>
      </c>
      <c r="G21" s="108">
        <v>4500</v>
      </c>
      <c r="H21" s="108">
        <v>3823</v>
      </c>
      <c r="I21" s="108">
        <f t="shared" si="1"/>
        <v>0</v>
      </c>
      <c r="J21" s="108">
        <v>3823</v>
      </c>
    </row>
    <row r="22" spans="1:10">
      <c r="A22" s="110" t="s">
        <v>203</v>
      </c>
      <c r="B22" s="108"/>
      <c r="C22" s="108">
        <f t="shared" si="2"/>
        <v>0</v>
      </c>
      <c r="D22" s="108"/>
      <c r="E22" s="108"/>
      <c r="F22" s="108">
        <f t="shared" si="0"/>
        <v>0</v>
      </c>
      <c r="G22" s="108"/>
      <c r="H22" s="108"/>
      <c r="I22" s="108">
        <f t="shared" si="1"/>
        <v>0</v>
      </c>
      <c r="J22" s="108"/>
    </row>
    <row r="23" spans="1:10">
      <c r="A23" s="110" t="s">
        <v>204</v>
      </c>
      <c r="B23" s="108">
        <v>46793</v>
      </c>
      <c r="C23" s="108">
        <f t="shared" si="2"/>
        <v>0</v>
      </c>
      <c r="D23" s="108">
        <v>46793</v>
      </c>
      <c r="E23" s="108">
        <v>149913</v>
      </c>
      <c r="F23" s="108">
        <f t="shared" si="0"/>
        <v>0</v>
      </c>
      <c r="G23" s="108">
        <v>149913</v>
      </c>
      <c r="H23" s="108">
        <v>198132</v>
      </c>
      <c r="I23" s="108">
        <f t="shared" si="1"/>
        <v>0</v>
      </c>
      <c r="J23" s="108">
        <v>198132</v>
      </c>
    </row>
    <row r="24" spans="1:10">
      <c r="A24" s="110" t="s">
        <v>205</v>
      </c>
      <c r="B24" s="108">
        <v>31000</v>
      </c>
      <c r="C24" s="108">
        <f t="shared" si="2"/>
        <v>0</v>
      </c>
      <c r="D24" s="108">
        <v>31000</v>
      </c>
      <c r="E24" s="108">
        <v>34500</v>
      </c>
      <c r="F24" s="108">
        <f t="shared" si="0"/>
        <v>0</v>
      </c>
      <c r="G24" s="108">
        <v>34500</v>
      </c>
      <c r="H24" s="108">
        <v>39500</v>
      </c>
      <c r="I24" s="108">
        <f t="shared" si="1"/>
        <v>0</v>
      </c>
      <c r="J24" s="108">
        <v>39500</v>
      </c>
    </row>
    <row r="25" spans="1:10" ht="15.6">
      <c r="A25" s="110" t="s">
        <v>236</v>
      </c>
      <c r="B25" s="108">
        <v>5800</v>
      </c>
      <c r="C25" s="108">
        <f t="shared" si="2"/>
        <v>-5800</v>
      </c>
      <c r="D25" s="108">
        <v>0</v>
      </c>
      <c r="E25" s="108">
        <v>18500</v>
      </c>
      <c r="F25" s="108">
        <f t="shared" si="0"/>
        <v>-18500</v>
      </c>
      <c r="G25" s="108">
        <v>0</v>
      </c>
      <c r="H25" s="108">
        <v>13570</v>
      </c>
      <c r="I25" s="108">
        <f t="shared" si="1"/>
        <v>-13570</v>
      </c>
      <c r="J25" s="108">
        <v>0</v>
      </c>
    </row>
    <row r="26" spans="1:10">
      <c r="A26" s="110" t="s">
        <v>206</v>
      </c>
      <c r="B26" s="108">
        <v>13104</v>
      </c>
      <c r="C26" s="108">
        <f t="shared" si="2"/>
        <v>1602</v>
      </c>
      <c r="D26" s="108">
        <v>14706</v>
      </c>
      <c r="E26" s="108">
        <v>32090</v>
      </c>
      <c r="F26" s="108">
        <f t="shared" si="0"/>
        <v>18310</v>
      </c>
      <c r="G26" s="108">
        <v>50400</v>
      </c>
      <c r="H26" s="108">
        <v>10897</v>
      </c>
      <c r="I26" s="108">
        <f t="shared" si="1"/>
        <v>46644.73</v>
      </c>
      <c r="J26" s="108">
        <v>57541.73</v>
      </c>
    </row>
    <row r="27" spans="1:10">
      <c r="A27" s="110" t="s">
        <v>207</v>
      </c>
      <c r="B27" s="108">
        <v>25357</v>
      </c>
      <c r="C27" s="108">
        <f t="shared" si="2"/>
        <v>-15952</v>
      </c>
      <c r="D27" s="108">
        <f>1881000*0.005</f>
        <v>9405</v>
      </c>
      <c r="E27" s="108">
        <v>52773</v>
      </c>
      <c r="F27" s="108">
        <f t="shared" si="0"/>
        <v>-28249.3</v>
      </c>
      <c r="G27" s="108">
        <f>4624940*0.005+1399</f>
        <v>24523.7</v>
      </c>
      <c r="H27" s="108">
        <v>32928</v>
      </c>
      <c r="I27" s="108">
        <f t="shared" si="1"/>
        <v>0</v>
      </c>
      <c r="J27" s="108">
        <v>32928</v>
      </c>
    </row>
    <row r="28" spans="1:10">
      <c r="A28" s="110" t="s">
        <v>237</v>
      </c>
      <c r="B28" s="108">
        <v>457531</v>
      </c>
      <c r="C28" s="108">
        <f t="shared" si="2"/>
        <v>-457531</v>
      </c>
      <c r="D28" s="108"/>
      <c r="E28" s="108">
        <v>266110</v>
      </c>
      <c r="F28" s="108">
        <f t="shared" si="0"/>
        <v>-266110</v>
      </c>
      <c r="G28" s="108"/>
      <c r="H28" s="108">
        <v>111010</v>
      </c>
      <c r="I28" s="108">
        <f t="shared" si="1"/>
        <v>-111010</v>
      </c>
      <c r="J28" s="108"/>
    </row>
    <row r="29" spans="1:10">
      <c r="A29" s="110" t="s">
        <v>208</v>
      </c>
      <c r="B29" s="108"/>
      <c r="C29" s="108">
        <f t="shared" si="2"/>
        <v>0</v>
      </c>
      <c r="D29" s="108"/>
      <c r="E29" s="108"/>
      <c r="F29" s="108">
        <f t="shared" si="0"/>
        <v>0</v>
      </c>
      <c r="G29" s="108"/>
      <c r="H29" s="108"/>
      <c r="I29" s="108">
        <f t="shared" si="1"/>
        <v>0</v>
      </c>
      <c r="J29" s="108"/>
    </row>
    <row r="30" spans="1:10">
      <c r="A30" s="110" t="s">
        <v>209</v>
      </c>
      <c r="B30" s="108"/>
      <c r="C30" s="108">
        <f t="shared" si="2"/>
        <v>0</v>
      </c>
      <c r="D30" s="108"/>
      <c r="E30" s="108"/>
      <c r="F30" s="108">
        <f t="shared" si="0"/>
        <v>0</v>
      </c>
      <c r="G30" s="108"/>
      <c r="H30" s="108"/>
      <c r="I30" s="108">
        <f t="shared" si="1"/>
        <v>0</v>
      </c>
      <c r="J30" s="108"/>
    </row>
    <row r="31" spans="1:10">
      <c r="A31" s="110" t="s">
        <v>238</v>
      </c>
      <c r="B31" s="108"/>
      <c r="C31" s="108">
        <f t="shared" si="2"/>
        <v>11764.8</v>
      </c>
      <c r="D31" s="108">
        <v>11764.8</v>
      </c>
      <c r="E31" s="108"/>
      <c r="F31" s="108">
        <f t="shared" si="0"/>
        <v>40320</v>
      </c>
      <c r="G31" s="108">
        <v>40320</v>
      </c>
      <c r="H31" s="108"/>
      <c r="I31" s="108">
        <f t="shared" si="1"/>
        <v>46033.38</v>
      </c>
      <c r="J31" s="108">
        <v>46033.38</v>
      </c>
    </row>
    <row r="32" spans="1:10">
      <c r="A32" s="110" t="s">
        <v>210</v>
      </c>
      <c r="B32" s="108">
        <v>54630</v>
      </c>
      <c r="C32" s="108">
        <f t="shared" si="2"/>
        <v>-54630</v>
      </c>
      <c r="D32" s="108">
        <v>0</v>
      </c>
      <c r="E32" s="108">
        <v>57182</v>
      </c>
      <c r="F32" s="108">
        <f t="shared" si="0"/>
        <v>-57182</v>
      </c>
      <c r="G32" s="108">
        <v>0</v>
      </c>
      <c r="H32" s="108">
        <v>145156</v>
      </c>
      <c r="I32" s="108">
        <f t="shared" si="1"/>
        <v>-76800</v>
      </c>
      <c r="J32" s="108">
        <f>68356</f>
        <v>68356</v>
      </c>
    </row>
    <row r="33" spans="1:10">
      <c r="A33" s="110" t="s">
        <v>211</v>
      </c>
      <c r="B33" s="108"/>
      <c r="C33" s="108">
        <f t="shared" si="2"/>
        <v>0</v>
      </c>
      <c r="D33" s="108"/>
      <c r="E33" s="108"/>
      <c r="F33" s="108">
        <f t="shared" si="0"/>
        <v>0</v>
      </c>
      <c r="G33" s="108"/>
      <c r="H33" s="108"/>
      <c r="I33" s="108">
        <f t="shared" si="1"/>
        <v>0</v>
      </c>
      <c r="J33" s="108"/>
    </row>
    <row r="34" spans="1:10">
      <c r="A34" s="110" t="s">
        <v>212</v>
      </c>
      <c r="B34" s="108">
        <v>9200</v>
      </c>
      <c r="C34" s="108">
        <f t="shared" si="2"/>
        <v>0</v>
      </c>
      <c r="D34" s="108">
        <v>9200</v>
      </c>
      <c r="E34" s="108">
        <v>30424</v>
      </c>
      <c r="F34" s="108">
        <f t="shared" si="0"/>
        <v>0</v>
      </c>
      <c r="G34" s="108">
        <v>30424</v>
      </c>
      <c r="H34" s="108">
        <v>25677</v>
      </c>
      <c r="I34" s="108">
        <f t="shared" si="1"/>
        <v>0</v>
      </c>
      <c r="J34" s="108">
        <v>25677</v>
      </c>
    </row>
    <row r="35" spans="1:10">
      <c r="A35" s="110" t="s">
        <v>213</v>
      </c>
      <c r="B35" s="108"/>
      <c r="C35" s="108">
        <f t="shared" si="2"/>
        <v>0</v>
      </c>
      <c r="D35" s="108"/>
      <c r="E35" s="108"/>
      <c r="F35" s="108">
        <f t="shared" si="0"/>
        <v>0</v>
      </c>
      <c r="G35" s="108"/>
      <c r="H35" s="108"/>
      <c r="I35" s="108">
        <f t="shared" si="1"/>
        <v>0</v>
      </c>
      <c r="J35" s="108"/>
    </row>
    <row r="36" spans="1:10">
      <c r="A36" s="110" t="s">
        <v>214</v>
      </c>
      <c r="B36" s="108">
        <v>361226</v>
      </c>
      <c r="C36" s="108">
        <f t="shared" si="2"/>
        <v>-256986</v>
      </c>
      <c r="D36" s="108">
        <f>50000+21890+32350</f>
        <v>104240</v>
      </c>
      <c r="E36" s="108">
        <v>978194</v>
      </c>
      <c r="F36" s="108">
        <f t="shared" si="0"/>
        <v>-818198</v>
      </c>
      <c r="G36" s="108">
        <f>54876+34420+30000+40700</f>
        <v>159996</v>
      </c>
      <c r="H36" s="108">
        <v>1142543</v>
      </c>
      <c r="I36" s="108">
        <f t="shared" si="1"/>
        <v>-786990</v>
      </c>
      <c r="J36" s="108">
        <f>115071+57692+48535+134255</f>
        <v>355553</v>
      </c>
    </row>
    <row r="37" spans="1:10">
      <c r="A37" s="111" t="s">
        <v>215</v>
      </c>
      <c r="B37" s="108"/>
      <c r="C37" s="108">
        <f t="shared" si="2"/>
        <v>0</v>
      </c>
      <c r="D37" s="108"/>
      <c r="E37" s="108"/>
      <c r="F37" s="108">
        <f t="shared" si="0"/>
        <v>0</v>
      </c>
      <c r="G37" s="108"/>
      <c r="H37" s="108"/>
      <c r="I37" s="108">
        <f t="shared" si="1"/>
        <v>0</v>
      </c>
      <c r="J37" s="108"/>
    </row>
    <row r="38" spans="1:10">
      <c r="A38" s="110" t="s">
        <v>216</v>
      </c>
      <c r="B38" s="108"/>
      <c r="C38" s="108">
        <f t="shared" si="2"/>
        <v>0</v>
      </c>
      <c r="D38" s="108"/>
      <c r="E38" s="108"/>
      <c r="F38" s="108">
        <f t="shared" si="0"/>
        <v>0</v>
      </c>
      <c r="G38" s="108"/>
      <c r="H38" s="108"/>
      <c r="I38" s="108">
        <f t="shared" si="1"/>
        <v>0</v>
      </c>
      <c r="J38" s="108"/>
    </row>
    <row r="39" spans="1:10">
      <c r="A39" s="110" t="s">
        <v>217</v>
      </c>
      <c r="B39" s="108"/>
      <c r="C39" s="108">
        <f t="shared" si="2"/>
        <v>0</v>
      </c>
      <c r="D39" s="108"/>
      <c r="E39" s="108"/>
      <c r="F39" s="108">
        <f t="shared" si="0"/>
        <v>0</v>
      </c>
      <c r="G39" s="108"/>
      <c r="H39" s="108"/>
      <c r="I39" s="108">
        <f t="shared" si="1"/>
        <v>0</v>
      </c>
      <c r="J39" s="108"/>
    </row>
    <row r="40" spans="1:10">
      <c r="A40" s="110" t="s">
        <v>218</v>
      </c>
      <c r="B40" s="108"/>
      <c r="C40" s="108">
        <f t="shared" si="2"/>
        <v>0</v>
      </c>
      <c r="D40" s="108"/>
      <c r="E40" s="108"/>
      <c r="F40" s="108">
        <f t="shared" si="0"/>
        <v>0</v>
      </c>
      <c r="G40" s="108"/>
      <c r="H40" s="108"/>
      <c r="I40" s="108">
        <f t="shared" si="1"/>
        <v>0</v>
      </c>
      <c r="J40" s="108"/>
    </row>
    <row r="41" spans="1:10">
      <c r="A41" s="110" t="s">
        <v>219</v>
      </c>
      <c r="B41" s="108"/>
      <c r="C41" s="108">
        <f t="shared" si="2"/>
        <v>0</v>
      </c>
      <c r="D41" s="108"/>
      <c r="E41" s="108"/>
      <c r="F41" s="108">
        <f t="shared" si="0"/>
        <v>0</v>
      </c>
      <c r="G41" s="108"/>
      <c r="H41" s="108"/>
      <c r="I41" s="108">
        <f t="shared" si="1"/>
        <v>0</v>
      </c>
      <c r="J41" s="108"/>
    </row>
    <row r="42" spans="1:10">
      <c r="A42" s="110" t="s">
        <v>220</v>
      </c>
      <c r="B42" s="108"/>
      <c r="C42" s="108">
        <f t="shared" si="2"/>
        <v>0</v>
      </c>
      <c r="D42" s="108"/>
      <c r="E42" s="108"/>
      <c r="F42" s="108">
        <f t="shared" si="0"/>
        <v>0</v>
      </c>
      <c r="G42" s="108"/>
      <c r="H42" s="108"/>
      <c r="I42" s="108">
        <f t="shared" si="1"/>
        <v>0</v>
      </c>
      <c r="J42" s="108"/>
    </row>
    <row r="43" spans="1:10">
      <c r="A43" s="110" t="s">
        <v>221</v>
      </c>
      <c r="B43" s="108"/>
      <c r="C43" s="108">
        <f t="shared" si="2"/>
        <v>0</v>
      </c>
      <c r="D43" s="108"/>
      <c r="E43" s="108"/>
      <c r="F43" s="108">
        <f t="shared" si="0"/>
        <v>0</v>
      </c>
      <c r="G43" s="108"/>
      <c r="H43" s="108"/>
      <c r="I43" s="108">
        <f t="shared" si="1"/>
        <v>0</v>
      </c>
      <c r="J43" s="108"/>
    </row>
    <row r="44" spans="1:10" ht="20.25" customHeight="1">
      <c r="A44" s="112" t="s">
        <v>222</v>
      </c>
      <c r="B44" s="108"/>
      <c r="C44" s="108">
        <f t="shared" si="2"/>
        <v>183853.57320000001</v>
      </c>
      <c r="D44" s="108">
        <f>1114264.08*0.33*0.5</f>
        <v>183853.57320000001</v>
      </c>
      <c r="E44" s="108"/>
      <c r="F44" s="108">
        <f t="shared" si="0"/>
        <v>735414.29280000005</v>
      </c>
      <c r="G44" s="108">
        <f>1114264.08*0.66</f>
        <v>735414.29280000005</v>
      </c>
      <c r="H44" s="108"/>
      <c r="I44" s="108">
        <f t="shared" si="1"/>
        <v>1114264.08</v>
      </c>
      <c r="J44" s="108">
        <f>1114264.08</f>
        <v>1114264.08</v>
      </c>
    </row>
    <row r="45" spans="1:10">
      <c r="A45" s="109" t="s">
        <v>223</v>
      </c>
      <c r="B45" s="108"/>
      <c r="C45" s="108">
        <f t="shared" si="2"/>
        <v>500235.51</v>
      </c>
      <c r="D45" s="108">
        <f>500235.51</f>
        <v>500235.51</v>
      </c>
      <c r="E45" s="108"/>
      <c r="F45" s="108">
        <f t="shared" si="0"/>
        <v>500235.51</v>
      </c>
      <c r="G45" s="108">
        <v>500235.51</v>
      </c>
      <c r="H45" s="108"/>
      <c r="I45" s="108">
        <f t="shared" si="1"/>
        <v>500235.51</v>
      </c>
      <c r="J45" s="108">
        <v>500235.51</v>
      </c>
    </row>
    <row r="46" spans="1:10">
      <c r="A46" s="109" t="s">
        <v>224</v>
      </c>
      <c r="B46" s="108"/>
      <c r="C46" s="108">
        <f t="shared" si="2"/>
        <v>259876.17</v>
      </c>
      <c r="D46" s="108">
        <f>259876.17</f>
        <v>259876.17</v>
      </c>
      <c r="E46" s="108"/>
      <c r="F46" s="108">
        <f t="shared" si="0"/>
        <v>259876.17</v>
      </c>
      <c r="G46" s="108">
        <v>259876.17</v>
      </c>
      <c r="H46" s="108"/>
      <c r="I46" s="108">
        <f t="shared" si="1"/>
        <v>259876.17</v>
      </c>
      <c r="J46" s="108">
        <v>259876.17</v>
      </c>
    </row>
    <row r="47" spans="1:10">
      <c r="A47" s="109" t="s">
        <v>225</v>
      </c>
      <c r="B47" s="108"/>
      <c r="C47" s="108">
        <f t="shared" si="2"/>
        <v>225671.15</v>
      </c>
      <c r="D47" s="108">
        <f>225671.15</f>
        <v>225671.15</v>
      </c>
      <c r="E47" s="108"/>
      <c r="F47" s="108">
        <f t="shared" si="0"/>
        <v>225671.15</v>
      </c>
      <c r="G47" s="108">
        <v>225671.15</v>
      </c>
      <c r="H47" s="108"/>
      <c r="I47" s="108">
        <f t="shared" si="1"/>
        <v>225671.15</v>
      </c>
      <c r="J47" s="108">
        <v>225671.15</v>
      </c>
    </row>
    <row r="48" spans="1:10">
      <c r="A48" s="109" t="s">
        <v>226</v>
      </c>
      <c r="B48" s="108"/>
      <c r="C48" s="108">
        <f t="shared" si="2"/>
        <v>45413.8</v>
      </c>
      <c r="D48" s="108">
        <f>113534.5*0.4</f>
        <v>45413.8</v>
      </c>
      <c r="E48" s="108"/>
      <c r="F48" s="108">
        <f t="shared" si="0"/>
        <v>113534.5</v>
      </c>
      <c r="G48" s="108">
        <v>113534.5</v>
      </c>
      <c r="H48" s="108"/>
      <c r="I48" s="108">
        <f t="shared" si="1"/>
        <v>113534.5</v>
      </c>
      <c r="J48" s="108">
        <v>113534.5</v>
      </c>
    </row>
    <row r="49" spans="1:10">
      <c r="A49" s="110" t="s">
        <v>227</v>
      </c>
      <c r="B49" s="108"/>
      <c r="C49" s="108">
        <f t="shared" si="2"/>
        <v>6218.7000000000007</v>
      </c>
      <c r="D49" s="108">
        <f>15546.75*0.4</f>
        <v>6218.7000000000007</v>
      </c>
      <c r="E49" s="108"/>
      <c r="F49" s="108">
        <f t="shared" si="0"/>
        <v>15546.75</v>
      </c>
      <c r="G49" s="108">
        <v>15546.75</v>
      </c>
      <c r="H49" s="108"/>
      <c r="I49" s="108">
        <f t="shared" si="1"/>
        <v>15546.75</v>
      </c>
      <c r="J49" s="108">
        <v>15546.75</v>
      </c>
    </row>
    <row r="50" spans="1:10" ht="22.5" customHeight="1">
      <c r="A50" s="112" t="s">
        <v>228</v>
      </c>
      <c r="B50" s="108"/>
      <c r="C50" s="108">
        <f t="shared" si="2"/>
        <v>0</v>
      </c>
      <c r="D50" s="108"/>
      <c r="E50" s="108"/>
      <c r="F50" s="108">
        <f t="shared" si="0"/>
        <v>0</v>
      </c>
      <c r="G50" s="108"/>
      <c r="H50" s="108"/>
      <c r="I50" s="108">
        <f t="shared" si="1"/>
        <v>0</v>
      </c>
      <c r="J50" s="108"/>
    </row>
    <row r="51" spans="1:10">
      <c r="A51" s="113" t="s">
        <v>229</v>
      </c>
      <c r="B51" s="108"/>
      <c r="C51" s="108">
        <f t="shared" si="2"/>
        <v>0</v>
      </c>
      <c r="D51" s="108"/>
      <c r="E51" s="108"/>
      <c r="F51" s="108">
        <f t="shared" si="0"/>
        <v>4600</v>
      </c>
      <c r="G51" s="108">
        <f>G52+G54</f>
        <v>4600</v>
      </c>
      <c r="H51" s="108"/>
      <c r="I51" s="108">
        <f t="shared" si="1"/>
        <v>3735</v>
      </c>
      <c r="J51" s="108">
        <f>J52+J54</f>
        <v>3735</v>
      </c>
    </row>
    <row r="52" spans="1:10">
      <c r="A52" s="114" t="s">
        <v>230</v>
      </c>
      <c r="B52" s="108"/>
      <c r="C52" s="108">
        <f t="shared" si="2"/>
        <v>0</v>
      </c>
      <c r="D52" s="108"/>
      <c r="E52" s="108">
        <v>4600</v>
      </c>
      <c r="F52" s="108">
        <f t="shared" si="0"/>
        <v>0</v>
      </c>
      <c r="G52" s="108">
        <v>4600</v>
      </c>
      <c r="H52" s="108">
        <v>3735</v>
      </c>
      <c r="I52" s="108">
        <f t="shared" si="1"/>
        <v>0</v>
      </c>
      <c r="J52" s="108">
        <v>3735</v>
      </c>
    </row>
    <row r="53" spans="1:10">
      <c r="A53" s="114" t="s">
        <v>231</v>
      </c>
      <c r="B53" s="108"/>
      <c r="C53" s="108">
        <f t="shared" si="2"/>
        <v>0</v>
      </c>
      <c r="D53" s="108"/>
      <c r="E53" s="108"/>
      <c r="F53" s="108">
        <f t="shared" si="0"/>
        <v>0</v>
      </c>
      <c r="G53" s="108"/>
      <c r="H53" s="108">
        <v>0</v>
      </c>
      <c r="I53" s="108">
        <f t="shared" si="1"/>
        <v>0</v>
      </c>
      <c r="J53" s="108"/>
    </row>
    <row r="54" spans="1:10">
      <c r="A54" s="114" t="s">
        <v>239</v>
      </c>
      <c r="B54" s="108"/>
      <c r="C54" s="108">
        <f t="shared" si="2"/>
        <v>0</v>
      </c>
      <c r="D54" s="108"/>
      <c r="E54" s="108">
        <v>1120000</v>
      </c>
      <c r="F54" s="108">
        <f t="shared" si="0"/>
        <v>-1120000</v>
      </c>
      <c r="G54" s="108"/>
      <c r="H54" s="108">
        <v>2320000</v>
      </c>
      <c r="I54" s="108">
        <f t="shared" si="1"/>
        <v>-2320000</v>
      </c>
      <c r="J54" s="108"/>
    </row>
    <row r="55" spans="1:10">
      <c r="A55" s="113" t="s">
        <v>232</v>
      </c>
      <c r="B55" s="108"/>
      <c r="C55" s="108">
        <f t="shared" si="2"/>
        <v>1133872.3732</v>
      </c>
      <c r="D55" s="108">
        <f>D5+D12+D44+D51+D37</f>
        <v>1133872.3732</v>
      </c>
      <c r="E55" s="108"/>
      <c r="F55" s="108">
        <f t="shared" si="0"/>
        <v>3578307.9928000001</v>
      </c>
      <c r="G55" s="108">
        <f>G5+G12+G44+G51+G37</f>
        <v>3578307.9928000001</v>
      </c>
      <c r="H55" s="108"/>
      <c r="I55" s="108">
        <f t="shared" si="1"/>
        <v>4656277.6400000006</v>
      </c>
      <c r="J55" s="108">
        <f>J5+J12+J44+J51+J37</f>
        <v>4656277.6400000006</v>
      </c>
    </row>
  </sheetData>
  <mergeCells count="1">
    <mergeCell ref="A2:J2"/>
  </mergeCells>
  <phoneticPr fontId="27"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26"/>
  <sheetViews>
    <sheetView topLeftCell="A13" workbookViewId="0">
      <selection activeCell="A2" sqref="A2:D2"/>
    </sheetView>
  </sheetViews>
  <sheetFormatPr defaultColWidth="9" defaultRowHeight="14.4"/>
  <cols>
    <col min="1" max="1" width="37.77734375" customWidth="1"/>
    <col min="2" max="4" width="16.88671875" customWidth="1"/>
  </cols>
  <sheetData>
    <row r="1" spans="1:4" ht="21.6">
      <c r="A1" s="24" t="s">
        <v>71</v>
      </c>
      <c r="B1" s="25"/>
    </row>
    <row r="2" spans="1:4" ht="25.5" customHeight="1">
      <c r="A2" s="118" t="s">
        <v>240</v>
      </c>
      <c r="B2" s="118"/>
      <c r="C2" s="118"/>
      <c r="D2" s="118"/>
    </row>
    <row r="3" spans="1:4">
      <c r="A3" s="98"/>
      <c r="B3" s="98"/>
    </row>
    <row r="4" spans="1:4" ht="43.5" customHeight="1">
      <c r="A4" s="26" t="s">
        <v>72</v>
      </c>
      <c r="B4" s="27" t="s">
        <v>178</v>
      </c>
      <c r="C4" s="27" t="s">
        <v>179</v>
      </c>
      <c r="D4" s="27" t="s">
        <v>73</v>
      </c>
    </row>
    <row r="5" spans="1:4" ht="24" customHeight="1">
      <c r="A5" s="28" t="s">
        <v>74</v>
      </c>
      <c r="B5" s="29"/>
      <c r="C5" s="29"/>
      <c r="D5" s="29"/>
    </row>
    <row r="6" spans="1:4" ht="24" customHeight="1">
      <c r="A6" s="30" t="s">
        <v>75</v>
      </c>
      <c r="B6" s="31">
        <v>89</v>
      </c>
      <c r="C6" s="31">
        <v>326</v>
      </c>
      <c r="D6" s="31">
        <v>463</v>
      </c>
    </row>
    <row r="7" spans="1:4" ht="24" customHeight="1">
      <c r="A7" s="30" t="s">
        <v>76</v>
      </c>
      <c r="B7" s="31">
        <v>6</v>
      </c>
      <c r="C7" s="31">
        <v>20</v>
      </c>
      <c r="D7" s="31">
        <v>29</v>
      </c>
    </row>
    <row r="8" spans="1:4" ht="24" customHeight="1">
      <c r="A8" s="32" t="s">
        <v>77</v>
      </c>
      <c r="B8" s="33">
        <f>1/6</f>
        <v>0.16666666666666666</v>
      </c>
      <c r="C8" s="33">
        <f>3/20</f>
        <v>0.15</v>
      </c>
      <c r="D8" s="33">
        <f>5/29</f>
        <v>0.17241379310344829</v>
      </c>
    </row>
    <row r="9" spans="1:4" ht="24" customHeight="1">
      <c r="A9" s="34" t="s">
        <v>78</v>
      </c>
      <c r="B9" s="35"/>
      <c r="C9" s="35"/>
      <c r="D9" s="35"/>
    </row>
    <row r="10" spans="1:4" ht="24" customHeight="1">
      <c r="A10" s="32" t="s">
        <v>79</v>
      </c>
      <c r="B10" s="35"/>
      <c r="C10" s="35"/>
      <c r="D10" s="35"/>
    </row>
    <row r="11" spans="1:4" ht="24" customHeight="1">
      <c r="A11" s="30" t="s">
        <v>80</v>
      </c>
      <c r="B11" s="35">
        <f>89/5</f>
        <v>17.8</v>
      </c>
      <c r="C11" s="35">
        <f>326/17</f>
        <v>19.176470588235293</v>
      </c>
      <c r="D11" s="35">
        <f>463/24</f>
        <v>19.291666666666668</v>
      </c>
    </row>
    <row r="12" spans="1:4" ht="24" customHeight="1">
      <c r="A12" s="30" t="s">
        <v>81</v>
      </c>
      <c r="B12" s="35"/>
      <c r="C12" s="35"/>
      <c r="D12" s="35"/>
    </row>
    <row r="13" spans="1:4" ht="24" customHeight="1">
      <c r="A13" s="30" t="s">
        <v>82</v>
      </c>
      <c r="B13" s="35"/>
      <c r="C13" s="35"/>
      <c r="D13" s="35"/>
    </row>
    <row r="14" spans="1:4" ht="24" customHeight="1">
      <c r="A14" s="32" t="s">
        <v>83</v>
      </c>
      <c r="B14" s="36">
        <f>SUM(B15:B20)</f>
        <v>1133872.3732</v>
      </c>
      <c r="C14" s="36">
        <f>SUM(C15:C20)</f>
        <v>3578307.9928000001</v>
      </c>
      <c r="D14" s="36">
        <f>SUM(D15:D20)</f>
        <v>4656277.6400000006</v>
      </c>
    </row>
    <row r="15" spans="1:4" ht="24" customHeight="1">
      <c r="A15" s="30" t="s">
        <v>84</v>
      </c>
      <c r="B15" s="37">
        <f>教育成本归集表!D5</f>
        <v>607763</v>
      </c>
      <c r="C15" s="37">
        <f>教育成本归集表!G5</f>
        <v>2127091</v>
      </c>
      <c r="D15" s="37">
        <f>教育成本归集表!J5</f>
        <v>2458539.4500000002</v>
      </c>
    </row>
    <row r="16" spans="1:4" ht="24" customHeight="1">
      <c r="A16" s="30" t="s">
        <v>85</v>
      </c>
      <c r="B16" s="37">
        <f>教育成本归集表!D12</f>
        <v>342255.8</v>
      </c>
      <c r="C16" s="37">
        <f>教育成本归集表!G12</f>
        <v>711202.7</v>
      </c>
      <c r="D16" s="37">
        <f>教育成本归集表!J12</f>
        <v>1079739.1099999999</v>
      </c>
    </row>
    <row r="17" spans="1:4" ht="24" customHeight="1">
      <c r="A17" s="30" t="s">
        <v>86</v>
      </c>
      <c r="B17" s="37"/>
      <c r="C17" s="37"/>
      <c r="D17" s="37"/>
    </row>
    <row r="18" spans="1:4" ht="24" customHeight="1">
      <c r="A18" s="30" t="s">
        <v>87</v>
      </c>
      <c r="B18" s="37">
        <f>教育成本归集表!D44</f>
        <v>183853.57320000001</v>
      </c>
      <c r="C18" s="37">
        <f>教育成本归集表!G44</f>
        <v>735414.29280000005</v>
      </c>
      <c r="D18" s="37">
        <f>教育成本归集表!J44</f>
        <v>1114264.08</v>
      </c>
    </row>
    <row r="19" spans="1:4" ht="24" customHeight="1">
      <c r="A19" s="38" t="s">
        <v>88</v>
      </c>
      <c r="B19" s="37"/>
      <c r="C19" s="37"/>
      <c r="D19" s="37"/>
    </row>
    <row r="20" spans="1:4" ht="24" customHeight="1">
      <c r="A20" s="30" t="s">
        <v>89</v>
      </c>
      <c r="B20" s="37"/>
      <c r="C20" s="37">
        <f>教育成本归集表!G51</f>
        <v>4600</v>
      </c>
      <c r="D20" s="37">
        <f>教育成本归集表!J51</f>
        <v>3735</v>
      </c>
    </row>
    <row r="21" spans="1:4" ht="24" customHeight="1">
      <c r="A21" s="32" t="s">
        <v>90</v>
      </c>
      <c r="B21" s="39"/>
      <c r="C21" s="39">
        <f>收入情况表!C5</f>
        <v>279800</v>
      </c>
      <c r="D21" s="39">
        <f>收入情况表!D5</f>
        <v>319400</v>
      </c>
    </row>
    <row r="22" spans="1:4" ht="24" customHeight="1">
      <c r="A22" s="32" t="s">
        <v>91</v>
      </c>
      <c r="B22" s="37">
        <f>(B14-B21)*0.88</f>
        <v>997807.68841599999</v>
      </c>
      <c r="C22" s="37">
        <f>(C14-C21)*0.88</f>
        <v>2902687.0336640002</v>
      </c>
      <c r="D22" s="37">
        <f>(D14-D21)*0.86</f>
        <v>3729714.7704000003</v>
      </c>
    </row>
    <row r="23" spans="1:4" ht="24" customHeight="1">
      <c r="A23" s="32" t="s">
        <v>92</v>
      </c>
      <c r="B23" s="36">
        <f>B22/B6</f>
        <v>11211.32234175281</v>
      </c>
      <c r="C23" s="36">
        <f>C22/C6</f>
        <v>8903.94795602454</v>
      </c>
      <c r="D23" s="36">
        <f>D22/D6</f>
        <v>8055.5394609071282</v>
      </c>
    </row>
    <row r="24" spans="1:4" ht="24" customHeight="1">
      <c r="A24" s="30" t="s">
        <v>93</v>
      </c>
      <c r="B24" s="102">
        <f>(B23+C23+D23)/3</f>
        <v>9390.2699195614932</v>
      </c>
      <c r="C24" s="103"/>
      <c r="D24" s="104"/>
    </row>
    <row r="25" spans="1:4" ht="24" customHeight="1">
      <c r="A25" s="30" t="s">
        <v>94</v>
      </c>
      <c r="B25" s="99"/>
      <c r="C25" s="100"/>
      <c r="D25" s="101"/>
    </row>
    <row r="26" spans="1:4" ht="24" customHeight="1">
      <c r="A26" s="30" t="s">
        <v>95</v>
      </c>
      <c r="B26" s="37"/>
      <c r="C26" s="37"/>
      <c r="D26" s="37"/>
    </row>
  </sheetData>
  <mergeCells count="4">
    <mergeCell ref="A2:D2"/>
    <mergeCell ref="A3:B3"/>
    <mergeCell ref="B25:D25"/>
    <mergeCell ref="B24:D24"/>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E16"/>
  <sheetViews>
    <sheetView workbookViewId="0">
      <selection activeCell="H7" sqref="H7"/>
    </sheetView>
  </sheetViews>
  <sheetFormatPr defaultColWidth="9" defaultRowHeight="14.4"/>
  <cols>
    <col min="1" max="1" width="15" customWidth="1"/>
    <col min="2" max="2" width="13.21875" customWidth="1"/>
    <col min="3" max="3" width="13.109375" customWidth="1"/>
    <col min="4" max="4" width="12.88671875" customWidth="1"/>
    <col min="5" max="5" width="12.109375" customWidth="1"/>
  </cols>
  <sheetData>
    <row r="1" spans="1:5" ht="34.799999999999997" customHeight="1">
      <c r="A1" s="106" t="s">
        <v>172</v>
      </c>
      <c r="B1" s="106"/>
      <c r="C1" s="106"/>
      <c r="D1" s="106"/>
      <c r="E1" s="106"/>
    </row>
    <row r="2" spans="1:5" ht="31.2">
      <c r="A2" s="19" t="s">
        <v>96</v>
      </c>
      <c r="B2" s="19" t="s">
        <v>97</v>
      </c>
      <c r="C2" s="19" t="s">
        <v>98</v>
      </c>
      <c r="D2" s="19" t="s">
        <v>99</v>
      </c>
      <c r="E2" s="19" t="s">
        <v>100</v>
      </c>
    </row>
    <row r="3" spans="1:5" ht="25.95" customHeight="1">
      <c r="A3" s="20" t="s">
        <v>101</v>
      </c>
      <c r="B3" s="20"/>
      <c r="C3" s="20"/>
      <c r="D3" s="20"/>
      <c r="E3" s="20"/>
    </row>
    <row r="4" spans="1:5" ht="25.95" customHeight="1">
      <c r="A4" s="20">
        <v>2019</v>
      </c>
      <c r="B4" s="20">
        <v>10</v>
      </c>
      <c r="C4" s="20"/>
      <c r="D4" s="20">
        <v>268</v>
      </c>
      <c r="E4" s="21">
        <f>(C4*8+D4*4)/12</f>
        <v>89.333333333333329</v>
      </c>
    </row>
    <row r="5" spans="1:5" ht="25.95" customHeight="1">
      <c r="A5" s="20">
        <v>2020</v>
      </c>
      <c r="B5" s="20">
        <v>11</v>
      </c>
      <c r="C5" s="20">
        <v>298</v>
      </c>
      <c r="D5" s="20">
        <v>382</v>
      </c>
      <c r="E5" s="21">
        <f>(C5*8+D5*4)/12</f>
        <v>326</v>
      </c>
    </row>
    <row r="6" spans="1:5" ht="25.95" customHeight="1">
      <c r="A6" s="20">
        <v>2021</v>
      </c>
      <c r="B6" s="20">
        <v>12</v>
      </c>
      <c r="C6" s="20">
        <v>445</v>
      </c>
      <c r="D6" s="20">
        <v>498</v>
      </c>
      <c r="E6" s="21">
        <f>(C6*8+D6*4)/12</f>
        <v>462.66666666666669</v>
      </c>
    </row>
    <row r="7" spans="1:5" ht="25.95" customHeight="1">
      <c r="A7" s="20"/>
      <c r="B7" s="20"/>
      <c r="C7" s="20"/>
      <c r="D7" s="20"/>
      <c r="E7" s="20"/>
    </row>
    <row r="8" spans="1:5" ht="25.95" customHeight="1">
      <c r="A8" s="20"/>
      <c r="B8" s="20"/>
      <c r="C8" s="20"/>
      <c r="D8" s="20"/>
      <c r="E8" s="20"/>
    </row>
    <row r="9" spans="1:5" ht="25.95" customHeight="1">
      <c r="A9" s="20"/>
      <c r="B9" s="20"/>
      <c r="C9" s="20"/>
      <c r="D9" s="20"/>
      <c r="E9" s="20"/>
    </row>
    <row r="10" spans="1:5" ht="25.95" customHeight="1">
      <c r="A10" s="20"/>
      <c r="B10" s="20"/>
      <c r="C10" s="20"/>
      <c r="D10" s="20"/>
      <c r="E10" s="20"/>
    </row>
    <row r="11" spans="1:5" ht="25.95" customHeight="1">
      <c r="A11" s="20"/>
      <c r="B11" s="20"/>
      <c r="C11" s="20"/>
      <c r="D11" s="20"/>
      <c r="E11" s="20"/>
    </row>
    <row r="12" spans="1:5" ht="25.95" customHeight="1">
      <c r="A12" s="20"/>
      <c r="B12" s="20"/>
      <c r="C12" s="20"/>
      <c r="D12" s="20"/>
      <c r="E12" s="20"/>
    </row>
    <row r="13" spans="1:5" ht="25.95" customHeight="1">
      <c r="A13" s="20"/>
      <c r="B13" s="20"/>
      <c r="C13" s="20"/>
      <c r="D13" s="20"/>
      <c r="E13" s="20"/>
    </row>
    <row r="14" spans="1:5" ht="25.95" customHeight="1">
      <c r="A14" s="20"/>
      <c r="B14" s="20"/>
      <c r="C14" s="20"/>
      <c r="D14" s="20"/>
      <c r="E14" s="20"/>
    </row>
    <row r="15" spans="1:5" ht="25.95" customHeight="1">
      <c r="A15" s="20" t="s">
        <v>102</v>
      </c>
      <c r="B15" s="20"/>
      <c r="C15" s="20"/>
      <c r="D15" s="20"/>
      <c r="E15" s="21"/>
    </row>
    <row r="16" spans="1:5" ht="15.6">
      <c r="A16" s="23"/>
      <c r="B16" s="23"/>
      <c r="C16" s="23"/>
      <c r="D16" s="23"/>
      <c r="E16" s="23"/>
    </row>
  </sheetData>
  <mergeCells count="1">
    <mergeCell ref="A1:E1"/>
  </mergeCells>
  <phoneticPr fontId="27"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54"/>
  <sheetViews>
    <sheetView topLeftCell="A31" workbookViewId="0">
      <selection activeCell="A37" sqref="A37:G37"/>
    </sheetView>
  </sheetViews>
  <sheetFormatPr defaultColWidth="9" defaultRowHeight="14.4"/>
  <cols>
    <col min="1" max="1" width="25.88671875" customWidth="1"/>
    <col min="2" max="2" width="12.88671875" customWidth="1"/>
    <col min="3" max="3" width="13" customWidth="1"/>
  </cols>
  <sheetData>
    <row r="1" spans="1:7" ht="24">
      <c r="A1" s="106" t="s">
        <v>173</v>
      </c>
      <c r="B1" s="106"/>
      <c r="C1" s="106"/>
      <c r="D1" s="106"/>
      <c r="E1" s="106"/>
      <c r="F1" s="106"/>
      <c r="G1" s="106"/>
    </row>
    <row r="2" spans="1:7" ht="18.600000000000001" customHeight="1">
      <c r="A2" s="19" t="s">
        <v>103</v>
      </c>
      <c r="B2" s="19" t="s">
        <v>104</v>
      </c>
      <c r="C2" s="19" t="s">
        <v>105</v>
      </c>
      <c r="D2" s="19" t="s">
        <v>106</v>
      </c>
      <c r="E2" s="19" t="s">
        <v>107</v>
      </c>
      <c r="F2" s="19" t="s">
        <v>100</v>
      </c>
      <c r="G2" s="19" t="s">
        <v>108</v>
      </c>
    </row>
    <row r="3" spans="1:7" ht="18.600000000000001" customHeight="1">
      <c r="A3" s="120" t="s">
        <v>241</v>
      </c>
      <c r="B3" s="121"/>
      <c r="C3" s="121"/>
      <c r="D3" s="121"/>
      <c r="E3" s="122"/>
      <c r="F3" s="123"/>
      <c r="G3" s="121"/>
    </row>
    <row r="4" spans="1:7" ht="13.5" customHeight="1">
      <c r="A4" s="124" t="s">
        <v>109</v>
      </c>
      <c r="B4" s="125"/>
      <c r="C4" s="121">
        <v>41</v>
      </c>
      <c r="D4" s="125">
        <v>13</v>
      </c>
      <c r="E4" s="126">
        <f>E6/0.85</f>
        <v>5.5108359133126932</v>
      </c>
      <c r="F4" s="126">
        <v>6</v>
      </c>
      <c r="G4" s="126">
        <v>1</v>
      </c>
    </row>
    <row r="5" spans="1:7" ht="13.5" customHeight="1">
      <c r="A5" s="127" t="s">
        <v>242</v>
      </c>
      <c r="B5" s="125"/>
      <c r="C5" s="125"/>
      <c r="D5" s="125"/>
      <c r="E5" s="125"/>
      <c r="F5" s="126"/>
      <c r="G5" s="126"/>
    </row>
    <row r="6" spans="1:7" ht="13.5" customHeight="1">
      <c r="A6" s="128" t="s">
        <v>243</v>
      </c>
      <c r="B6" s="125"/>
      <c r="C6" s="125">
        <v>19</v>
      </c>
      <c r="D6" s="125">
        <f>(B6*8+C6*4)/12</f>
        <v>6.333333333333333</v>
      </c>
      <c r="E6" s="125">
        <f>89/19</f>
        <v>4.6842105263157894</v>
      </c>
      <c r="F6" s="126">
        <v>5</v>
      </c>
      <c r="G6" s="126">
        <v>1</v>
      </c>
    </row>
    <row r="7" spans="1:7" ht="13.5" customHeight="1">
      <c r="A7" s="128" t="s">
        <v>244</v>
      </c>
      <c r="B7" s="125"/>
      <c r="C7" s="125"/>
      <c r="D7" s="125"/>
      <c r="E7" s="125"/>
      <c r="F7" s="126"/>
      <c r="G7" s="126"/>
    </row>
    <row r="8" spans="1:7" ht="13.5" customHeight="1">
      <c r="A8" s="128" t="s">
        <v>245</v>
      </c>
      <c r="B8" s="125"/>
      <c r="C8" s="125"/>
      <c r="D8" s="125"/>
      <c r="E8" s="125"/>
      <c r="F8" s="126"/>
      <c r="G8" s="126"/>
    </row>
    <row r="9" spans="1:7" ht="13.5" customHeight="1">
      <c r="A9" s="129" t="s">
        <v>29</v>
      </c>
      <c r="B9" s="125"/>
      <c r="C9" s="125"/>
      <c r="D9" s="125"/>
      <c r="E9" s="125"/>
      <c r="F9" s="126"/>
      <c r="G9" s="130"/>
    </row>
    <row r="10" spans="1:7" ht="13.5" customHeight="1">
      <c r="A10" s="127" t="s">
        <v>246</v>
      </c>
      <c r="B10" s="125"/>
      <c r="C10" s="125">
        <v>9</v>
      </c>
      <c r="D10" s="125">
        <f>(B10*8+C10*4)/12</f>
        <v>3</v>
      </c>
      <c r="E10" s="131">
        <v>1</v>
      </c>
      <c r="F10" s="131">
        <v>1</v>
      </c>
      <c r="G10" s="132"/>
    </row>
    <row r="11" spans="1:7" ht="13.5" customHeight="1">
      <c r="A11" s="127" t="s">
        <v>247</v>
      </c>
      <c r="B11" s="125"/>
      <c r="C11" s="125">
        <v>4</v>
      </c>
      <c r="D11" s="125">
        <f>(B11*8+C11*4)/12</f>
        <v>1.3333333333333333</v>
      </c>
      <c r="E11" s="131"/>
      <c r="F11" s="131"/>
      <c r="G11" s="133"/>
    </row>
    <row r="12" spans="1:7" ht="13.5" customHeight="1">
      <c r="A12" s="127" t="s">
        <v>248</v>
      </c>
      <c r="B12" s="125"/>
      <c r="C12" s="125">
        <v>9</v>
      </c>
      <c r="D12" s="125">
        <f>(B12*8+C12*4)/12</f>
        <v>3</v>
      </c>
      <c r="E12" s="131"/>
      <c r="F12" s="131"/>
      <c r="G12" s="134"/>
    </row>
    <row r="13" spans="1:7" ht="13.5" customHeight="1">
      <c r="A13" s="135" t="s">
        <v>249</v>
      </c>
      <c r="B13" s="125"/>
      <c r="C13" s="125"/>
      <c r="D13" s="125"/>
      <c r="E13" s="126"/>
      <c r="F13" s="126"/>
      <c r="G13" s="136"/>
    </row>
    <row r="14" spans="1:7" ht="13.5" customHeight="1">
      <c r="A14" s="137" t="s">
        <v>250</v>
      </c>
      <c r="B14" s="125"/>
      <c r="C14" s="125"/>
      <c r="D14" s="125"/>
      <c r="E14" s="138"/>
      <c r="F14" s="138"/>
      <c r="G14" s="138"/>
    </row>
    <row r="15" spans="1:7" ht="13.5" customHeight="1">
      <c r="A15" s="137" t="s">
        <v>251</v>
      </c>
      <c r="B15" s="125"/>
      <c r="C15" s="125"/>
      <c r="D15" s="125"/>
      <c r="E15" s="138"/>
      <c r="F15" s="138"/>
      <c r="G15" s="138"/>
    </row>
    <row r="16" spans="1:7" ht="13.5" customHeight="1">
      <c r="A16" s="137" t="s">
        <v>252</v>
      </c>
      <c r="B16" s="125"/>
      <c r="C16" s="125"/>
      <c r="D16" s="125"/>
      <c r="E16" s="138"/>
      <c r="F16" s="138"/>
      <c r="G16" s="138"/>
    </row>
    <row r="17" spans="1:7" ht="13.5" customHeight="1">
      <c r="A17" s="137" t="s">
        <v>253</v>
      </c>
      <c r="B17" s="125"/>
      <c r="C17" s="125"/>
      <c r="D17" s="125"/>
      <c r="E17" s="138"/>
      <c r="F17" s="138"/>
      <c r="G17" s="138"/>
    </row>
    <row r="18" spans="1:7" ht="13.5" customHeight="1">
      <c r="A18" s="137" t="s">
        <v>254</v>
      </c>
      <c r="B18" s="125"/>
      <c r="C18" s="125"/>
      <c r="D18" s="125"/>
      <c r="E18" s="138"/>
      <c r="F18" s="138"/>
      <c r="G18" s="138"/>
    </row>
    <row r="19" spans="1:7" ht="24">
      <c r="A19" s="119" t="s">
        <v>174</v>
      </c>
      <c r="B19" s="119"/>
      <c r="C19" s="119"/>
      <c r="D19" s="119"/>
      <c r="E19" s="119"/>
      <c r="F19" s="119"/>
      <c r="G19" s="119"/>
    </row>
    <row r="20" spans="1:7" ht="18.600000000000001" customHeight="1">
      <c r="A20" s="87" t="s">
        <v>103</v>
      </c>
      <c r="B20" s="87" t="s">
        <v>104</v>
      </c>
      <c r="C20" s="87" t="s">
        <v>105</v>
      </c>
      <c r="D20" s="87" t="s">
        <v>106</v>
      </c>
      <c r="E20" s="87" t="s">
        <v>107</v>
      </c>
      <c r="F20" s="87" t="s">
        <v>100</v>
      </c>
      <c r="G20" s="87" t="s">
        <v>108</v>
      </c>
    </row>
    <row r="21" spans="1:7" ht="13.5" customHeight="1">
      <c r="A21" s="120" t="s">
        <v>241</v>
      </c>
      <c r="B21" s="121"/>
      <c r="C21" s="121"/>
      <c r="D21" s="121"/>
      <c r="E21" s="122"/>
      <c r="F21" s="123"/>
      <c r="G21" s="121"/>
    </row>
    <row r="22" spans="1:7" ht="13.5" customHeight="1">
      <c r="A22" s="124" t="s">
        <v>109</v>
      </c>
      <c r="B22" s="125">
        <v>43</v>
      </c>
      <c r="C22" s="121">
        <v>51</v>
      </c>
      <c r="D22" s="125">
        <f t="shared" ref="D22:D30" si="0">(B22*8+C22*4)/12</f>
        <v>45.666666666666664</v>
      </c>
      <c r="E22" s="126">
        <f>17/0.85</f>
        <v>20</v>
      </c>
      <c r="F22" s="126">
        <v>20</v>
      </c>
      <c r="G22" s="126"/>
    </row>
    <row r="23" spans="1:7" ht="13.5" customHeight="1">
      <c r="A23" s="127" t="s">
        <v>242</v>
      </c>
      <c r="B23" s="125"/>
      <c r="C23" s="125"/>
      <c r="D23" s="125">
        <f t="shared" si="0"/>
        <v>0</v>
      </c>
      <c r="E23" s="125"/>
      <c r="F23" s="126"/>
      <c r="G23" s="126"/>
    </row>
    <row r="24" spans="1:7" ht="13.5" customHeight="1">
      <c r="A24" s="128" t="s">
        <v>243</v>
      </c>
      <c r="B24" s="125">
        <v>19</v>
      </c>
      <c r="C24" s="125">
        <v>25</v>
      </c>
      <c r="D24" s="125">
        <f t="shared" si="0"/>
        <v>21</v>
      </c>
      <c r="E24" s="125">
        <f>326/19</f>
        <v>17.157894736842106</v>
      </c>
      <c r="F24" s="126">
        <v>17</v>
      </c>
      <c r="G24" s="126">
        <v>4</v>
      </c>
    </row>
    <row r="25" spans="1:7" ht="13.5" customHeight="1">
      <c r="A25" s="128" t="s">
        <v>244</v>
      </c>
      <c r="B25" s="125"/>
      <c r="C25" s="125"/>
      <c r="D25" s="125">
        <f t="shared" si="0"/>
        <v>0</v>
      </c>
      <c r="E25" s="125"/>
      <c r="F25" s="126"/>
      <c r="G25" s="126"/>
    </row>
    <row r="26" spans="1:7" ht="13.5" customHeight="1">
      <c r="A26" s="128" t="s">
        <v>245</v>
      </c>
      <c r="B26" s="125"/>
      <c r="C26" s="125"/>
      <c r="D26" s="125">
        <f t="shared" si="0"/>
        <v>0</v>
      </c>
      <c r="E26" s="125"/>
      <c r="F26" s="126"/>
      <c r="G26" s="126"/>
    </row>
    <row r="27" spans="1:7" ht="13.5" customHeight="1">
      <c r="A27" s="129" t="s">
        <v>29</v>
      </c>
      <c r="B27" s="125"/>
      <c r="C27" s="125"/>
      <c r="D27" s="125">
        <f t="shared" si="0"/>
        <v>0</v>
      </c>
      <c r="E27" s="125"/>
      <c r="F27" s="126"/>
      <c r="G27" s="130"/>
    </row>
    <row r="28" spans="1:7" ht="13.5" customHeight="1">
      <c r="A28" s="127" t="s">
        <v>246</v>
      </c>
      <c r="B28" s="125">
        <v>10</v>
      </c>
      <c r="C28" s="125">
        <v>11</v>
      </c>
      <c r="D28" s="125">
        <f t="shared" si="0"/>
        <v>10.333333333333334</v>
      </c>
      <c r="E28" s="131">
        <v>3</v>
      </c>
      <c r="F28" s="131">
        <v>3</v>
      </c>
      <c r="G28" s="132"/>
    </row>
    <row r="29" spans="1:7" ht="13.5" customHeight="1">
      <c r="A29" s="127" t="s">
        <v>247</v>
      </c>
      <c r="B29" s="125">
        <v>4</v>
      </c>
      <c r="C29" s="125">
        <v>4</v>
      </c>
      <c r="D29" s="125">
        <f t="shared" si="0"/>
        <v>4</v>
      </c>
      <c r="E29" s="131"/>
      <c r="F29" s="131"/>
      <c r="G29" s="133"/>
    </row>
    <row r="30" spans="1:7" ht="13.5" customHeight="1">
      <c r="A30" s="127" t="s">
        <v>248</v>
      </c>
      <c r="B30" s="125">
        <v>10</v>
      </c>
      <c r="C30" s="125">
        <v>11</v>
      </c>
      <c r="D30" s="125">
        <f t="shared" si="0"/>
        <v>10.333333333333334</v>
      </c>
      <c r="E30" s="131"/>
      <c r="F30" s="131"/>
      <c r="G30" s="134"/>
    </row>
    <row r="31" spans="1:7" ht="13.5" customHeight="1">
      <c r="A31" s="135" t="s">
        <v>249</v>
      </c>
      <c r="B31" s="125"/>
      <c r="C31" s="125"/>
      <c r="D31" s="125"/>
      <c r="E31" s="126"/>
      <c r="F31" s="126"/>
      <c r="G31" s="136"/>
    </row>
    <row r="32" spans="1:7" ht="13.5" customHeight="1">
      <c r="A32" s="137" t="s">
        <v>250</v>
      </c>
      <c r="B32" s="125"/>
      <c r="C32" s="125"/>
      <c r="D32" s="125"/>
      <c r="E32" s="138"/>
      <c r="F32" s="138"/>
      <c r="G32" s="138"/>
    </row>
    <row r="33" spans="1:7" ht="13.5" customHeight="1">
      <c r="A33" s="137" t="s">
        <v>251</v>
      </c>
      <c r="B33" s="125"/>
      <c r="C33" s="125"/>
      <c r="D33" s="125"/>
      <c r="E33" s="138"/>
      <c r="F33" s="138"/>
      <c r="G33" s="138"/>
    </row>
    <row r="34" spans="1:7" ht="13.5" customHeight="1">
      <c r="A34" s="137" t="s">
        <v>252</v>
      </c>
      <c r="B34" s="125"/>
      <c r="C34" s="125"/>
      <c r="D34" s="125"/>
      <c r="E34" s="138"/>
      <c r="F34" s="138"/>
      <c r="G34" s="138"/>
    </row>
    <row r="35" spans="1:7" ht="13.5" customHeight="1">
      <c r="A35" s="137" t="s">
        <v>253</v>
      </c>
      <c r="B35" s="125"/>
      <c r="C35" s="125"/>
      <c r="D35" s="125"/>
      <c r="E35" s="138"/>
      <c r="F35" s="138"/>
      <c r="G35" s="138"/>
    </row>
    <row r="36" spans="1:7" ht="13.5" customHeight="1">
      <c r="A36" s="137" t="s">
        <v>254</v>
      </c>
      <c r="B36" s="125"/>
      <c r="C36" s="125"/>
      <c r="D36" s="125"/>
      <c r="E36" s="138"/>
      <c r="F36" s="138"/>
      <c r="G36" s="138"/>
    </row>
    <row r="37" spans="1:7" ht="21" customHeight="1">
      <c r="A37" s="119" t="s">
        <v>175</v>
      </c>
      <c r="B37" s="119"/>
      <c r="C37" s="119"/>
      <c r="D37" s="119"/>
      <c r="E37" s="119"/>
      <c r="F37" s="119"/>
      <c r="G37" s="119"/>
    </row>
    <row r="38" spans="1:7" ht="18" customHeight="1">
      <c r="A38" s="87" t="s">
        <v>103</v>
      </c>
      <c r="B38" s="87" t="s">
        <v>104</v>
      </c>
      <c r="C38" s="87" t="s">
        <v>105</v>
      </c>
      <c r="D38" s="87" t="s">
        <v>106</v>
      </c>
      <c r="E38" s="87" t="s">
        <v>107</v>
      </c>
      <c r="F38" s="87" t="s">
        <v>100</v>
      </c>
      <c r="G38" s="87" t="s">
        <v>108</v>
      </c>
    </row>
    <row r="39" spans="1:7" ht="13.5" customHeight="1">
      <c r="A39" s="120" t="s">
        <v>241</v>
      </c>
      <c r="B39" s="121"/>
      <c r="C39" s="121"/>
      <c r="D39" s="121"/>
      <c r="E39" s="122"/>
      <c r="F39" s="123"/>
      <c r="G39" s="121"/>
    </row>
    <row r="40" spans="1:7" ht="13.5" customHeight="1">
      <c r="A40" s="124" t="s">
        <v>109</v>
      </c>
      <c r="B40" s="125">
        <v>49</v>
      </c>
      <c r="C40" s="121">
        <v>55</v>
      </c>
      <c r="D40" s="125">
        <f t="shared" ref="D40:D48" si="1">(B40*8+C40*4)/12</f>
        <v>51</v>
      </c>
      <c r="E40" s="126">
        <f>E42/0.85</f>
        <v>28.668730650154799</v>
      </c>
      <c r="F40" s="126">
        <v>29</v>
      </c>
      <c r="G40" s="126"/>
    </row>
    <row r="41" spans="1:7" ht="13.5" customHeight="1">
      <c r="A41" s="127" t="s">
        <v>242</v>
      </c>
      <c r="B41" s="125"/>
      <c r="C41" s="125"/>
      <c r="D41" s="125">
        <f t="shared" si="1"/>
        <v>0</v>
      </c>
      <c r="E41" s="125"/>
      <c r="F41" s="126"/>
      <c r="G41" s="126"/>
    </row>
    <row r="42" spans="1:7" ht="13.5" customHeight="1">
      <c r="A42" s="128" t="s">
        <v>243</v>
      </c>
      <c r="B42" s="125">
        <v>23</v>
      </c>
      <c r="C42" s="125">
        <v>27</v>
      </c>
      <c r="D42" s="125">
        <f t="shared" si="1"/>
        <v>24.333333333333332</v>
      </c>
      <c r="E42" s="125">
        <f>463/19</f>
        <v>24.368421052631579</v>
      </c>
      <c r="F42" s="126">
        <v>24</v>
      </c>
      <c r="G42" s="126">
        <v>0</v>
      </c>
    </row>
    <row r="43" spans="1:7" ht="13.5" customHeight="1">
      <c r="A43" s="128" t="s">
        <v>244</v>
      </c>
      <c r="B43" s="125"/>
      <c r="C43" s="125"/>
      <c r="D43" s="125">
        <f t="shared" si="1"/>
        <v>0</v>
      </c>
      <c r="E43" s="125"/>
      <c r="F43" s="126"/>
      <c r="G43" s="126"/>
    </row>
    <row r="44" spans="1:7" ht="13.5" customHeight="1">
      <c r="A44" s="128" t="s">
        <v>245</v>
      </c>
      <c r="B44" s="125"/>
      <c r="C44" s="125"/>
      <c r="D44" s="125">
        <f t="shared" si="1"/>
        <v>0</v>
      </c>
      <c r="E44" s="125"/>
      <c r="F44" s="126"/>
      <c r="G44" s="126"/>
    </row>
    <row r="45" spans="1:7" ht="13.5" customHeight="1">
      <c r="A45" s="129" t="s">
        <v>29</v>
      </c>
      <c r="B45" s="125"/>
      <c r="C45" s="125"/>
      <c r="D45" s="125">
        <f t="shared" si="1"/>
        <v>0</v>
      </c>
      <c r="E45" s="125"/>
      <c r="F45" s="126"/>
      <c r="G45" s="130"/>
    </row>
    <row r="46" spans="1:7" ht="13.5" customHeight="1">
      <c r="A46" s="127" t="s">
        <v>246</v>
      </c>
      <c r="B46" s="125">
        <v>11</v>
      </c>
      <c r="C46" s="125">
        <v>12</v>
      </c>
      <c r="D46" s="125">
        <f t="shared" si="1"/>
        <v>11.333333333333334</v>
      </c>
      <c r="E46" s="131">
        <v>5</v>
      </c>
      <c r="F46" s="131">
        <v>5</v>
      </c>
      <c r="G46" s="132"/>
    </row>
    <row r="47" spans="1:7" ht="13.5" customHeight="1">
      <c r="A47" s="127" t="s">
        <v>247</v>
      </c>
      <c r="B47" s="125">
        <v>4</v>
      </c>
      <c r="C47" s="125">
        <v>4</v>
      </c>
      <c r="D47" s="125">
        <f t="shared" si="1"/>
        <v>4</v>
      </c>
      <c r="E47" s="131"/>
      <c r="F47" s="131"/>
      <c r="G47" s="133"/>
    </row>
    <row r="48" spans="1:7" ht="13.5" customHeight="1">
      <c r="A48" s="127" t="s">
        <v>248</v>
      </c>
      <c r="B48" s="125">
        <v>11</v>
      </c>
      <c r="C48" s="125">
        <v>12</v>
      </c>
      <c r="D48" s="125">
        <f t="shared" si="1"/>
        <v>11.333333333333334</v>
      </c>
      <c r="E48" s="131"/>
      <c r="F48" s="131"/>
      <c r="G48" s="134"/>
    </row>
    <row r="49" spans="1:7" ht="13.5" customHeight="1">
      <c r="A49" s="135" t="s">
        <v>249</v>
      </c>
      <c r="B49" s="125"/>
      <c r="C49" s="125"/>
      <c r="D49" s="125"/>
      <c r="E49" s="126"/>
      <c r="F49" s="126"/>
      <c r="G49" s="136"/>
    </row>
    <row r="50" spans="1:7" ht="13.5" customHeight="1">
      <c r="A50" s="137" t="s">
        <v>250</v>
      </c>
      <c r="B50" s="125"/>
      <c r="C50" s="125"/>
      <c r="D50" s="125"/>
      <c r="E50" s="138"/>
      <c r="F50" s="138"/>
      <c r="G50" s="138"/>
    </row>
    <row r="51" spans="1:7" ht="13.5" customHeight="1">
      <c r="A51" s="137" t="s">
        <v>251</v>
      </c>
      <c r="B51" s="125"/>
      <c r="C51" s="125"/>
      <c r="D51" s="125"/>
      <c r="E51" s="138"/>
      <c r="F51" s="138"/>
      <c r="G51" s="138"/>
    </row>
    <row r="52" spans="1:7" ht="13.5" customHeight="1">
      <c r="A52" s="137" t="s">
        <v>252</v>
      </c>
      <c r="B52" s="125"/>
      <c r="C52" s="125"/>
      <c r="D52" s="125"/>
      <c r="E52" s="138"/>
      <c r="F52" s="138"/>
      <c r="G52" s="138"/>
    </row>
    <row r="53" spans="1:7" ht="13.5" customHeight="1">
      <c r="A53" s="137" t="s">
        <v>253</v>
      </c>
      <c r="B53" s="125"/>
      <c r="C53" s="125"/>
      <c r="D53" s="125"/>
      <c r="E53" s="138"/>
      <c r="F53" s="138"/>
      <c r="G53" s="138"/>
    </row>
    <row r="54" spans="1:7" ht="13.5" customHeight="1">
      <c r="A54" s="137" t="s">
        <v>254</v>
      </c>
      <c r="B54" s="125"/>
      <c r="C54" s="125"/>
      <c r="D54" s="125"/>
      <c r="E54" s="138"/>
      <c r="F54" s="138"/>
      <c r="G54" s="138"/>
    </row>
  </sheetData>
  <mergeCells count="12">
    <mergeCell ref="A1:G1"/>
    <mergeCell ref="E10:E12"/>
    <mergeCell ref="F10:F12"/>
    <mergeCell ref="G10:G12"/>
    <mergeCell ref="E46:E48"/>
    <mergeCell ref="F46:F48"/>
    <mergeCell ref="G46:G48"/>
    <mergeCell ref="A19:G19"/>
    <mergeCell ref="E28:E30"/>
    <mergeCell ref="F28:F30"/>
    <mergeCell ref="G28:G30"/>
    <mergeCell ref="A37:G37"/>
  </mergeCells>
  <phoneticPr fontId="27"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4"/>
  <sheetViews>
    <sheetView topLeftCell="A4" workbookViewId="0">
      <selection activeCell="H17" sqref="H17"/>
    </sheetView>
  </sheetViews>
  <sheetFormatPr defaultColWidth="9" defaultRowHeight="14.4"/>
  <cols>
    <col min="1" max="1" width="21" customWidth="1"/>
    <col min="2" max="2" width="16.44140625" customWidth="1"/>
    <col min="3" max="3" width="13" customWidth="1"/>
    <col min="4" max="4" width="16.88671875" customWidth="1"/>
    <col min="5" max="5" width="15.5546875" customWidth="1"/>
    <col min="6" max="6" width="12.77734375" customWidth="1"/>
    <col min="7" max="7" width="15.88671875" customWidth="1"/>
    <col min="8" max="8" width="14.6640625" customWidth="1"/>
  </cols>
  <sheetData>
    <row r="1" spans="1:8" ht="26.4">
      <c r="A1" s="105" t="s">
        <v>176</v>
      </c>
      <c r="B1" s="105"/>
      <c r="C1" s="105"/>
      <c r="D1" s="105"/>
      <c r="E1" s="105"/>
      <c r="F1" s="105"/>
      <c r="G1" s="105"/>
      <c r="H1" s="15"/>
    </row>
    <row r="2" spans="1:8">
      <c r="G2" t="s">
        <v>70</v>
      </c>
    </row>
    <row r="3" spans="1:8">
      <c r="A3" s="139" t="s">
        <v>255</v>
      </c>
      <c r="B3" s="140" t="s">
        <v>256</v>
      </c>
      <c r="C3" s="140" t="s">
        <v>257</v>
      </c>
      <c r="D3" s="140" t="s">
        <v>258</v>
      </c>
      <c r="E3" s="141" t="s">
        <v>184</v>
      </c>
      <c r="F3" s="140" t="s">
        <v>259</v>
      </c>
      <c r="G3" s="142" t="s">
        <v>110</v>
      </c>
      <c r="H3" s="143" t="s">
        <v>111</v>
      </c>
    </row>
    <row r="4" spans="1:8">
      <c r="A4" s="144" t="s">
        <v>260</v>
      </c>
      <c r="B4" s="145">
        <v>803821</v>
      </c>
      <c r="C4" s="145">
        <f>8.17*6*1.2*10000</f>
        <v>588239.99999999988</v>
      </c>
      <c r="D4" s="145"/>
      <c r="E4" s="145">
        <v>588240</v>
      </c>
      <c r="F4" s="146"/>
      <c r="G4" s="147"/>
      <c r="H4" s="148"/>
    </row>
    <row r="5" spans="1:8">
      <c r="A5" s="144" t="s">
        <v>261</v>
      </c>
      <c r="B5" s="145">
        <v>54630</v>
      </c>
      <c r="C5" s="145"/>
      <c r="D5" s="145"/>
      <c r="E5" s="145"/>
      <c r="F5" s="146"/>
      <c r="G5" s="149"/>
      <c r="H5" s="148"/>
    </row>
    <row r="6" spans="1:8">
      <c r="A6" s="150" t="s">
        <v>262</v>
      </c>
      <c r="B6" s="145">
        <v>4817</v>
      </c>
      <c r="C6" s="145"/>
      <c r="D6" s="145"/>
      <c r="E6" s="145">
        <v>4817</v>
      </c>
      <c r="F6" s="146"/>
      <c r="G6" s="151"/>
      <c r="H6" s="148"/>
    </row>
    <row r="7" spans="1:8">
      <c r="A7" s="144" t="s">
        <v>263</v>
      </c>
      <c r="B7" s="145"/>
      <c r="C7" s="145"/>
      <c r="D7" s="145"/>
      <c r="E7" s="145"/>
      <c r="F7" s="146"/>
      <c r="G7" s="149"/>
      <c r="H7" s="148"/>
    </row>
    <row r="8" spans="1:8">
      <c r="A8" s="150" t="s">
        <v>112</v>
      </c>
      <c r="B8" s="145"/>
      <c r="C8" s="145"/>
      <c r="D8" s="145"/>
      <c r="E8" s="145"/>
      <c r="F8" s="146"/>
      <c r="G8" s="149"/>
      <c r="H8" s="148"/>
    </row>
    <row r="9" spans="1:8">
      <c r="A9" s="144" t="s">
        <v>264</v>
      </c>
      <c r="B9" s="145"/>
      <c r="C9" s="145"/>
      <c r="D9" s="145"/>
      <c r="E9" s="145">
        <f>E4*0.05</f>
        <v>29412</v>
      </c>
      <c r="F9" s="145"/>
      <c r="G9" s="149"/>
      <c r="H9" s="148"/>
    </row>
    <row r="10" spans="1:8">
      <c r="A10" s="144" t="s">
        <v>265</v>
      </c>
      <c r="B10" s="145"/>
      <c r="C10" s="145"/>
      <c r="D10" s="145"/>
      <c r="E10" s="145">
        <f>E4*0.02</f>
        <v>11764.800000000001</v>
      </c>
      <c r="F10" s="146"/>
      <c r="G10" s="149"/>
      <c r="H10" s="148"/>
    </row>
    <row r="11" spans="1:8">
      <c r="A11" s="144" t="s">
        <v>266</v>
      </c>
      <c r="B11" s="145"/>
      <c r="C11" s="145"/>
      <c r="D11" s="145"/>
      <c r="E11" s="145">
        <f>E4*0.025</f>
        <v>14706</v>
      </c>
      <c r="F11" s="146"/>
      <c r="G11" s="149"/>
      <c r="H11" s="148"/>
    </row>
    <row r="12" spans="1:8">
      <c r="A12" s="148" t="s">
        <v>113</v>
      </c>
      <c r="B12" s="148"/>
      <c r="C12" s="148"/>
      <c r="D12" s="148"/>
      <c r="E12" s="148"/>
      <c r="F12" s="148"/>
      <c r="G12" s="148"/>
      <c r="H12" s="148"/>
    </row>
    <row r="13" spans="1:8">
      <c r="A13" s="152"/>
      <c r="B13" s="152"/>
      <c r="C13" s="152"/>
      <c r="D13" s="152"/>
      <c r="E13" s="152"/>
      <c r="F13" s="152"/>
      <c r="G13" s="152"/>
      <c r="H13" s="152"/>
    </row>
    <row r="14" spans="1:8">
      <c r="A14" s="139" t="s">
        <v>255</v>
      </c>
      <c r="B14" s="140" t="s">
        <v>267</v>
      </c>
      <c r="C14" s="140" t="s">
        <v>257</v>
      </c>
      <c r="D14" s="140" t="s">
        <v>268</v>
      </c>
      <c r="E14" s="141" t="s">
        <v>186</v>
      </c>
      <c r="F14" s="140" t="s">
        <v>259</v>
      </c>
      <c r="G14" s="142" t="s">
        <v>114</v>
      </c>
      <c r="H14" s="143" t="s">
        <v>111</v>
      </c>
    </row>
    <row r="15" spans="1:8">
      <c r="A15" s="144" t="s">
        <v>260</v>
      </c>
      <c r="B15" s="145">
        <v>2015079</v>
      </c>
      <c r="C15" s="145">
        <f>8.4*1.2*10000*20</f>
        <v>2016000</v>
      </c>
      <c r="D15" s="145"/>
      <c r="E15" s="145">
        <v>2016000</v>
      </c>
      <c r="F15" s="146"/>
      <c r="G15" s="147"/>
      <c r="H15" s="148"/>
    </row>
    <row r="16" spans="1:8">
      <c r="A16" s="144" t="s">
        <v>261</v>
      </c>
      <c r="B16" s="145">
        <v>57182</v>
      </c>
      <c r="C16" s="145"/>
      <c r="D16" s="145"/>
      <c r="E16" s="145"/>
      <c r="F16" s="146"/>
      <c r="G16" s="149"/>
      <c r="H16" s="148"/>
    </row>
    <row r="17" spans="1:8">
      <c r="A17" s="150" t="s">
        <v>262</v>
      </c>
      <c r="B17" s="145">
        <v>10291</v>
      </c>
      <c r="C17" s="145"/>
      <c r="D17" s="145"/>
      <c r="E17" s="145">
        <v>10291</v>
      </c>
      <c r="F17" s="146"/>
      <c r="G17" s="151"/>
      <c r="H17" s="148"/>
    </row>
    <row r="18" spans="1:8">
      <c r="A18" s="144" t="s">
        <v>263</v>
      </c>
      <c r="B18" s="145"/>
      <c r="C18" s="145"/>
      <c r="D18" s="145"/>
      <c r="E18" s="145"/>
      <c r="F18" s="146"/>
      <c r="G18" s="149"/>
      <c r="H18" s="148"/>
    </row>
    <row r="19" spans="1:8">
      <c r="A19" s="150" t="s">
        <v>112</v>
      </c>
      <c r="B19" s="145"/>
      <c r="C19" s="145"/>
      <c r="D19" s="145"/>
      <c r="E19" s="145"/>
      <c r="F19" s="146"/>
      <c r="G19" s="149"/>
      <c r="H19" s="148"/>
    </row>
    <row r="20" spans="1:8">
      <c r="A20" s="144" t="s">
        <v>264</v>
      </c>
      <c r="B20" s="145">
        <v>16600</v>
      </c>
      <c r="C20" s="145"/>
      <c r="D20" s="145"/>
      <c r="E20" s="145">
        <f>E15*0.05</f>
        <v>100800</v>
      </c>
      <c r="F20" s="145"/>
      <c r="G20" s="149"/>
      <c r="H20" s="148"/>
    </row>
    <row r="21" spans="1:8">
      <c r="A21" s="144" t="s">
        <v>265</v>
      </c>
      <c r="B21" s="145"/>
      <c r="C21" s="145"/>
      <c r="D21" s="145"/>
      <c r="E21" s="145">
        <f>E15*0.02</f>
        <v>40320</v>
      </c>
      <c r="F21" s="146"/>
      <c r="G21" s="149"/>
      <c r="H21" s="148"/>
    </row>
    <row r="22" spans="1:8">
      <c r="A22" s="144" t="s">
        <v>266</v>
      </c>
      <c r="B22" s="145"/>
      <c r="C22" s="145"/>
      <c r="D22" s="145"/>
      <c r="E22" s="145">
        <f>E15*0.025</f>
        <v>50400</v>
      </c>
      <c r="F22" s="146"/>
      <c r="G22" s="149"/>
      <c r="H22" s="148"/>
    </row>
    <row r="23" spans="1:8">
      <c r="A23" s="148" t="s">
        <v>113</v>
      </c>
      <c r="B23" s="148"/>
      <c r="C23" s="148"/>
      <c r="D23" s="145"/>
      <c r="E23" s="148"/>
      <c r="F23" s="148"/>
      <c r="G23" s="148"/>
      <c r="H23" s="148"/>
    </row>
    <row r="24" spans="1:8" ht="15.6">
      <c r="D24" s="17"/>
    </row>
    <row r="25" spans="1:8">
      <c r="A25" s="139" t="s">
        <v>255</v>
      </c>
      <c r="B25" s="140" t="s">
        <v>269</v>
      </c>
      <c r="C25" s="140" t="s">
        <v>257</v>
      </c>
      <c r="D25" s="140" t="s">
        <v>270</v>
      </c>
      <c r="E25" s="141" t="s">
        <v>188</v>
      </c>
      <c r="F25" s="140" t="s">
        <v>259</v>
      </c>
      <c r="G25" s="142" t="s">
        <v>115</v>
      </c>
      <c r="H25" s="143" t="s">
        <v>111</v>
      </c>
    </row>
    <row r="26" spans="1:8">
      <c r="A26" s="144" t="s">
        <v>260</v>
      </c>
      <c r="B26" s="145">
        <v>2301669</v>
      </c>
      <c r="C26" s="145">
        <f>8.63*10000*1.2*29</f>
        <v>3003240.0000000005</v>
      </c>
      <c r="D26" s="145"/>
      <c r="E26" s="145">
        <v>2301669</v>
      </c>
      <c r="F26" s="146"/>
      <c r="G26" s="147"/>
      <c r="H26" s="148"/>
    </row>
    <row r="27" spans="1:8">
      <c r="A27" s="144" t="s">
        <v>261</v>
      </c>
      <c r="B27" s="145">
        <v>68356</v>
      </c>
      <c r="C27" s="145"/>
      <c r="D27" s="145"/>
      <c r="E27" s="145">
        <v>68356</v>
      </c>
      <c r="F27" s="146"/>
      <c r="G27" s="149"/>
      <c r="H27" s="148"/>
    </row>
    <row r="28" spans="1:8">
      <c r="A28" s="150" t="s">
        <v>262</v>
      </c>
      <c r="B28" s="145">
        <v>112067</v>
      </c>
      <c r="C28" s="145"/>
      <c r="D28" s="145"/>
      <c r="E28" s="145">
        <v>112067</v>
      </c>
      <c r="F28" s="146"/>
      <c r="G28" s="151"/>
      <c r="H28" s="148"/>
    </row>
    <row r="29" spans="1:8">
      <c r="A29" s="144" t="s">
        <v>263</v>
      </c>
      <c r="B29" s="145"/>
      <c r="C29" s="145"/>
      <c r="D29" s="145"/>
      <c r="E29" s="145"/>
      <c r="F29" s="146"/>
      <c r="G29" s="149"/>
      <c r="H29" s="148"/>
    </row>
    <row r="30" spans="1:8">
      <c r="A30" s="150" t="s">
        <v>112</v>
      </c>
      <c r="B30" s="145"/>
      <c r="C30" s="145"/>
      <c r="D30" s="145"/>
      <c r="E30" s="145"/>
      <c r="F30" s="146"/>
      <c r="G30" s="149"/>
      <c r="H30" s="148"/>
    </row>
    <row r="31" spans="1:8">
      <c r="A31" s="144" t="s">
        <v>264</v>
      </c>
      <c r="B31" s="145"/>
      <c r="C31" s="145"/>
      <c r="D31" s="145"/>
      <c r="E31" s="145">
        <f>E26*0.05</f>
        <v>115083.45000000001</v>
      </c>
      <c r="F31" s="145"/>
      <c r="G31" s="149"/>
      <c r="H31" s="148"/>
    </row>
    <row r="32" spans="1:8">
      <c r="A32" s="144" t="s">
        <v>265</v>
      </c>
      <c r="B32" s="145"/>
      <c r="C32" s="145"/>
      <c r="D32" s="145"/>
      <c r="E32" s="145">
        <f>E26*0.02</f>
        <v>46033.38</v>
      </c>
      <c r="F32" s="146"/>
      <c r="G32" s="145"/>
      <c r="H32" s="148"/>
    </row>
    <row r="33" spans="1:8">
      <c r="A33" s="144" t="s">
        <v>266</v>
      </c>
      <c r="B33" s="145"/>
      <c r="C33" s="145"/>
      <c r="D33" s="145"/>
      <c r="E33" s="145">
        <f>E26*0.025</f>
        <v>57541.725000000006</v>
      </c>
      <c r="F33" s="146"/>
      <c r="G33" s="145"/>
      <c r="H33" s="148"/>
    </row>
    <row r="34" spans="1:8">
      <c r="A34" s="148" t="s">
        <v>113</v>
      </c>
      <c r="B34" s="153"/>
      <c r="C34" s="148"/>
      <c r="D34" s="148"/>
      <c r="E34" s="148"/>
      <c r="F34" s="148"/>
      <c r="G34" s="145"/>
      <c r="H34" s="148"/>
    </row>
  </sheetData>
  <mergeCells count="1">
    <mergeCell ref="A1:G1"/>
  </mergeCells>
  <phoneticPr fontId="27"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E32"/>
  <sheetViews>
    <sheetView topLeftCell="A22" workbookViewId="0">
      <selection activeCell="G40" sqref="G40"/>
    </sheetView>
  </sheetViews>
  <sheetFormatPr defaultColWidth="9" defaultRowHeight="14.4"/>
  <cols>
    <col min="1" max="1" width="27.6640625" customWidth="1"/>
    <col min="2" max="2" width="15" style="6" customWidth="1"/>
    <col min="3" max="3" width="14.33203125" style="6" customWidth="1"/>
    <col min="4" max="4" width="13.33203125" style="6" customWidth="1"/>
    <col min="5" max="5" width="15.109375" style="6" customWidth="1"/>
  </cols>
  <sheetData>
    <row r="1" spans="1:5" ht="37.200000000000003" customHeight="1">
      <c r="A1" s="154" t="s">
        <v>177</v>
      </c>
      <c r="B1" s="154"/>
      <c r="C1" s="154"/>
      <c r="D1" s="154"/>
      <c r="E1" s="154"/>
    </row>
    <row r="2" spans="1:5" ht="37.200000000000003" customHeight="1">
      <c r="A2" s="7" t="s">
        <v>116</v>
      </c>
      <c r="B2" s="8" t="s">
        <v>117</v>
      </c>
      <c r="C2" s="8" t="s">
        <v>118</v>
      </c>
      <c r="D2" s="8" t="s">
        <v>119</v>
      </c>
      <c r="E2" s="8" t="s">
        <v>120</v>
      </c>
    </row>
    <row r="3" spans="1:5" ht="28.8" customHeight="1">
      <c r="A3" s="9" t="s">
        <v>121</v>
      </c>
      <c r="B3" s="10">
        <v>17743322</v>
      </c>
      <c r="C3" s="10"/>
      <c r="D3" s="10"/>
      <c r="E3" s="88">
        <f>E4+E9+E21+E28+E32</f>
        <v>1114264.0835833335</v>
      </c>
    </row>
    <row r="4" spans="1:5" ht="21.75" customHeight="1">
      <c r="A4" s="11" t="s">
        <v>122</v>
      </c>
      <c r="B4" s="88">
        <f>B7+B8+B5+B6</f>
        <v>13689046</v>
      </c>
      <c r="C4" s="10"/>
      <c r="D4" s="12"/>
      <c r="E4" s="88">
        <f>E7+E8+E5+E6</f>
        <v>500235.51024999999</v>
      </c>
    </row>
    <row r="5" spans="1:5" ht="21.75" customHeight="1">
      <c r="A5" s="13" t="s">
        <v>123</v>
      </c>
      <c r="B5" s="10">
        <v>11281591</v>
      </c>
      <c r="C5" s="10">
        <v>50</v>
      </c>
      <c r="D5" s="12">
        <v>0.05</v>
      </c>
      <c r="E5" s="88">
        <f>B5*0.95/C5</f>
        <v>214350.22899999999</v>
      </c>
    </row>
    <row r="6" spans="1:5" ht="21.75" customHeight="1">
      <c r="A6" s="13" t="s">
        <v>124</v>
      </c>
      <c r="B6" s="10">
        <v>219600</v>
      </c>
      <c r="C6" s="10">
        <v>8</v>
      </c>
      <c r="D6" s="12">
        <v>0.05</v>
      </c>
      <c r="E6" s="88">
        <f>B6*0.95/C6</f>
        <v>26077.5</v>
      </c>
    </row>
    <row r="7" spans="1:5" ht="21.75" customHeight="1">
      <c r="A7" s="13" t="s">
        <v>125</v>
      </c>
      <c r="B7" s="10">
        <v>136870</v>
      </c>
      <c r="C7" s="10">
        <v>8</v>
      </c>
      <c r="D7" s="12">
        <v>0.05</v>
      </c>
      <c r="E7" s="88">
        <f>B7*0.95/C7</f>
        <v>16253.3125</v>
      </c>
    </row>
    <row r="8" spans="1:5" ht="21.75" customHeight="1">
      <c r="A8" s="13" t="s">
        <v>126</v>
      </c>
      <c r="B8" s="10">
        <v>2050985</v>
      </c>
      <c r="C8" s="10">
        <v>8</v>
      </c>
      <c r="D8" s="12">
        <v>0.05</v>
      </c>
      <c r="E8" s="88">
        <f>B8*0.95/C8</f>
        <v>243554.46875</v>
      </c>
    </row>
    <row r="9" spans="1:5" ht="21.75" customHeight="1">
      <c r="A9" s="14" t="s">
        <v>127</v>
      </c>
      <c r="B9" s="88">
        <f>SUM(B10:B20)</f>
        <v>1611561</v>
      </c>
      <c r="C9" s="10"/>
      <c r="D9" s="12"/>
      <c r="E9" s="88">
        <f>SUM(E10:E20)</f>
        <v>259876.17333333334</v>
      </c>
    </row>
    <row r="10" spans="1:5" ht="21.75" customHeight="1">
      <c r="A10" s="13" t="s">
        <v>128</v>
      </c>
      <c r="B10" s="10">
        <v>67330</v>
      </c>
      <c r="C10" s="10">
        <v>6</v>
      </c>
      <c r="D10" s="12">
        <v>0.05</v>
      </c>
      <c r="E10" s="88">
        <f>B10*0.95/C10</f>
        <v>10660.583333333334</v>
      </c>
    </row>
    <row r="11" spans="1:5" ht="21.75" customHeight="1">
      <c r="A11" s="13" t="s">
        <v>129</v>
      </c>
      <c r="B11" s="10">
        <v>105420</v>
      </c>
      <c r="C11" s="10">
        <v>6</v>
      </c>
      <c r="D11" s="12">
        <v>0.05</v>
      </c>
      <c r="E11" s="88">
        <f t="shared" ref="E11:E18" si="0">B11*0.95/C11</f>
        <v>16691.5</v>
      </c>
    </row>
    <row r="12" spans="1:5" ht="21.75" customHeight="1">
      <c r="A12" s="13" t="s">
        <v>130</v>
      </c>
      <c r="B12" s="10">
        <v>215000</v>
      </c>
      <c r="C12" s="10">
        <v>8</v>
      </c>
      <c r="D12" s="12">
        <v>0.05</v>
      </c>
      <c r="E12" s="89" t="s">
        <v>169</v>
      </c>
    </row>
    <row r="13" spans="1:5" ht="21.75" customHeight="1">
      <c r="A13" s="13" t="s">
        <v>131</v>
      </c>
      <c r="B13" s="10">
        <v>169660</v>
      </c>
      <c r="C13" s="10">
        <v>5</v>
      </c>
      <c r="D13" s="12">
        <v>0.05</v>
      </c>
      <c r="E13" s="88">
        <f t="shared" si="0"/>
        <v>32235.4</v>
      </c>
    </row>
    <row r="14" spans="1:5" ht="21.75" customHeight="1">
      <c r="A14" s="13" t="s">
        <v>132</v>
      </c>
      <c r="B14" s="10"/>
      <c r="C14" s="10"/>
      <c r="D14" s="10"/>
      <c r="E14" s="88"/>
    </row>
    <row r="15" spans="1:5" ht="21.75" customHeight="1">
      <c r="A15" s="13" t="s">
        <v>133</v>
      </c>
      <c r="B15" s="10">
        <v>870406</v>
      </c>
      <c r="C15" s="10">
        <v>5</v>
      </c>
      <c r="D15" s="12">
        <v>0.05</v>
      </c>
      <c r="E15" s="88">
        <f t="shared" si="0"/>
        <v>165377.13999999998</v>
      </c>
    </row>
    <row r="16" spans="1:5" ht="21.75" customHeight="1">
      <c r="A16" s="13" t="s">
        <v>134</v>
      </c>
      <c r="B16" s="10">
        <v>6517</v>
      </c>
      <c r="C16" s="10">
        <v>5</v>
      </c>
      <c r="D16" s="12">
        <v>0.05</v>
      </c>
      <c r="E16" s="88">
        <f t="shared" si="0"/>
        <v>1238.23</v>
      </c>
    </row>
    <row r="17" spans="1:5" ht="21.75" customHeight="1">
      <c r="A17" s="13" t="s">
        <v>135</v>
      </c>
      <c r="B17" s="10">
        <v>154530</v>
      </c>
      <c r="C17" s="10">
        <v>5</v>
      </c>
      <c r="D17" s="12">
        <v>0.05</v>
      </c>
      <c r="E17" s="88">
        <f t="shared" si="0"/>
        <v>29360.7</v>
      </c>
    </row>
    <row r="18" spans="1:5" ht="21.75" customHeight="1">
      <c r="A18" s="13" t="s">
        <v>136</v>
      </c>
      <c r="B18" s="10">
        <v>22698</v>
      </c>
      <c r="C18" s="10">
        <v>5</v>
      </c>
      <c r="D18" s="12">
        <v>0.05</v>
      </c>
      <c r="E18" s="88">
        <f t="shared" si="0"/>
        <v>4312.62</v>
      </c>
    </row>
    <row r="19" spans="1:5" ht="21.75" customHeight="1">
      <c r="A19" s="13" t="s">
        <v>137</v>
      </c>
      <c r="B19" s="10"/>
      <c r="C19" s="10"/>
      <c r="D19" s="10"/>
      <c r="E19" s="88"/>
    </row>
    <row r="20" spans="1:5" ht="33.6" customHeight="1">
      <c r="A20" s="13" t="s">
        <v>138</v>
      </c>
      <c r="B20" s="10"/>
      <c r="C20" s="10"/>
      <c r="D20" s="10"/>
      <c r="E20" s="88"/>
    </row>
    <row r="21" spans="1:5" ht="26.4" customHeight="1">
      <c r="A21" s="14" t="s">
        <v>139</v>
      </c>
      <c r="B21" s="10">
        <f>SUM(B22:B27)</f>
        <v>1184585</v>
      </c>
      <c r="C21" s="10"/>
      <c r="D21" s="12"/>
      <c r="E21" s="88">
        <f>E22+E23+E24+E25+E26+E27</f>
        <v>225071.15000000002</v>
      </c>
    </row>
    <row r="22" spans="1:5" ht="21.75" customHeight="1">
      <c r="A22" s="13" t="s">
        <v>140</v>
      </c>
      <c r="B22" s="10"/>
      <c r="C22" s="10"/>
      <c r="D22" s="10"/>
      <c r="E22" s="88"/>
    </row>
    <row r="23" spans="1:5" ht="21.75" customHeight="1">
      <c r="A23" s="13" t="s">
        <v>141</v>
      </c>
      <c r="B23" s="10">
        <v>50970</v>
      </c>
      <c r="C23" s="10">
        <v>5</v>
      </c>
      <c r="D23" s="12">
        <v>0.05</v>
      </c>
      <c r="E23" s="88">
        <f>B23*0.95/C23</f>
        <v>9684.2999999999993</v>
      </c>
    </row>
    <row r="24" spans="1:5" ht="21.75" customHeight="1">
      <c r="A24" s="13" t="s">
        <v>142</v>
      </c>
      <c r="B24" s="10">
        <v>303400</v>
      </c>
      <c r="C24" s="10">
        <v>5</v>
      </c>
      <c r="D24" s="12">
        <v>0.05</v>
      </c>
      <c r="E24" s="88">
        <f t="shared" ref="E24:E32" si="1">B24*0.95/C24</f>
        <v>57646</v>
      </c>
    </row>
    <row r="25" spans="1:5" ht="21.75" customHeight="1">
      <c r="A25" s="13" t="s">
        <v>143</v>
      </c>
      <c r="B25" s="10"/>
      <c r="C25" s="10"/>
      <c r="D25" s="10"/>
      <c r="E25" s="88"/>
    </row>
    <row r="26" spans="1:5" ht="21.75" customHeight="1">
      <c r="A26" s="13" t="s">
        <v>144</v>
      </c>
      <c r="B26" s="10">
        <v>247700</v>
      </c>
      <c r="C26" s="10">
        <v>5</v>
      </c>
      <c r="D26" s="12">
        <v>0.05</v>
      </c>
      <c r="E26" s="88">
        <f t="shared" si="1"/>
        <v>47063</v>
      </c>
    </row>
    <row r="27" spans="1:5" ht="21.75" customHeight="1">
      <c r="A27" s="13" t="s">
        <v>145</v>
      </c>
      <c r="B27" s="10">
        <v>582515</v>
      </c>
      <c r="C27" s="10">
        <v>5</v>
      </c>
      <c r="D27" s="12">
        <v>0.05</v>
      </c>
      <c r="E27" s="88">
        <f t="shared" si="1"/>
        <v>110677.85</v>
      </c>
    </row>
    <row r="28" spans="1:5" ht="21.75" customHeight="1">
      <c r="A28" s="14" t="s">
        <v>146</v>
      </c>
      <c r="B28" s="10">
        <v>741330</v>
      </c>
      <c r="C28" s="10"/>
      <c r="D28" s="10"/>
      <c r="E28" s="88">
        <f>E29+E30</f>
        <v>113534.5</v>
      </c>
    </row>
    <row r="29" spans="1:5" ht="21.75" customHeight="1">
      <c r="A29" s="13" t="s">
        <v>147</v>
      </c>
      <c r="B29" s="10">
        <v>64380</v>
      </c>
      <c r="C29" s="10">
        <v>15</v>
      </c>
      <c r="D29" s="12">
        <v>0.05</v>
      </c>
      <c r="E29" s="88">
        <f t="shared" si="1"/>
        <v>4077.4</v>
      </c>
    </row>
    <row r="30" spans="1:5" ht="35.4" customHeight="1">
      <c r="A30" s="13" t="s">
        <v>148</v>
      </c>
      <c r="B30" s="10">
        <v>576090</v>
      </c>
      <c r="C30" s="10">
        <v>5</v>
      </c>
      <c r="D30" s="12">
        <v>0.05</v>
      </c>
      <c r="E30" s="88">
        <f t="shared" si="1"/>
        <v>109457.1</v>
      </c>
    </row>
    <row r="31" spans="1:5" ht="27" customHeight="1">
      <c r="A31" s="13" t="s">
        <v>149</v>
      </c>
      <c r="B31" s="10">
        <v>100860</v>
      </c>
      <c r="C31" s="10">
        <v>5</v>
      </c>
      <c r="D31" s="12">
        <v>0.05</v>
      </c>
      <c r="E31" s="88">
        <f t="shared" si="1"/>
        <v>19163.400000000001</v>
      </c>
    </row>
    <row r="32" spans="1:5" ht="24" customHeight="1">
      <c r="A32" s="85" t="s">
        <v>168</v>
      </c>
      <c r="B32" s="86">
        <v>327300</v>
      </c>
      <c r="C32" s="86">
        <v>20</v>
      </c>
      <c r="D32" s="12">
        <v>0.1</v>
      </c>
      <c r="E32" s="88">
        <f t="shared" si="1"/>
        <v>15546.75</v>
      </c>
    </row>
  </sheetData>
  <mergeCells count="1">
    <mergeCell ref="A1:E1"/>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2023-01-09T07:58:31Z</cp:lastPrinted>
  <dcterms:created xsi:type="dcterms:W3CDTF">2022-07-04T01:13:00Z</dcterms:created>
  <dcterms:modified xsi:type="dcterms:W3CDTF">2023-01-09T07:58:56Z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4184FE2F0101407AAE38DB4388A39269</vt:lpwstr>
  </property>
  <property fmtid="{D5CDD505-2E9C-101B-9397-08002B2CF9AE}" pid="3" name="KSOProductBuildVer">
    <vt:lpwstr>2052-11.1.0.12763</vt:lpwstr>
  </property>
</Properties>
</file>